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5" windowWidth="11955" windowHeight="5520" tabRatio="580" activeTab="4"/>
  </bookViews>
  <sheets>
    <sheet name="Quick Calculator" sheetId="1" r:id="rId1"/>
    <sheet name="Summary" sheetId="2" r:id="rId2"/>
    <sheet name="Pre-Development" sheetId="3" r:id="rId3"/>
    <sheet name="Post-Development" sheetId="4" r:id="rId4"/>
    <sheet name="Storage Devices" sheetId="5" r:id="rId5"/>
    <sheet name="Peak Flow Calcs" sheetId="6" r:id="rId6"/>
  </sheets>
  <definedNames>
    <definedName name="Devices">'Storage Devices'!$N$43:$Q$60</definedName>
    <definedName name="Pervious">'Post-Development'!$M$17:$Q$20</definedName>
    <definedName name="_xlnm.Print_Area" localSheetId="5">'Peak Flow Calcs'!$A$1:$I$86</definedName>
    <definedName name="_xlnm.Print_Area" localSheetId="3">'Post-Development'!$A$1:$I$60</definedName>
    <definedName name="_xlnm.Print_Area" localSheetId="2">'Pre-Development'!$A$1:$J$49</definedName>
    <definedName name="_xlnm.Print_Area" localSheetId="0">'Quick Calculator'!$A$1:$I$48</definedName>
    <definedName name="_xlnm.Print_Area" localSheetId="4">'Storage Devices'!$A$1:$K$51</definedName>
    <definedName name="_xlnm.Print_Area" localSheetId="1">'Summary'!$A$1:$I$48</definedName>
    <definedName name="_xlnm.Print_Titles" localSheetId="5">'Peak Flow Calcs'!$1:$5</definedName>
    <definedName name="_xlnm.Print_Titles" localSheetId="3">'Post-Development'!$1:$5</definedName>
  </definedNames>
  <calcPr fullCalcOnLoad="1"/>
</workbook>
</file>

<file path=xl/sharedStrings.xml><?xml version="1.0" encoding="utf-8"?>
<sst xmlns="http://schemas.openxmlformats.org/spreadsheetml/2006/main" count="898" uniqueCount="479">
  <si>
    <t>Date:</t>
  </si>
  <si>
    <t>Designer:</t>
  </si>
  <si>
    <t xml:space="preserve">     Stormwater Management Plan</t>
  </si>
  <si>
    <t>Total Site Area:</t>
  </si>
  <si>
    <t>SUMMARY INFORMATION</t>
  </si>
  <si>
    <t>Number of Lots:</t>
  </si>
  <si>
    <t>sf</t>
  </si>
  <si>
    <t>A</t>
  </si>
  <si>
    <t>B</t>
  </si>
  <si>
    <t>C</t>
  </si>
  <si>
    <t>D</t>
  </si>
  <si>
    <t>%</t>
  </si>
  <si>
    <t>acres</t>
  </si>
  <si>
    <t>Impervious Area in R/W:</t>
  </si>
  <si>
    <t>Impervious Area per Lot:</t>
  </si>
  <si>
    <t>Total Area in R/W:</t>
  </si>
  <si>
    <t>Weighted Curve Numbers</t>
  </si>
  <si>
    <t>Woods</t>
  </si>
  <si>
    <t>Open Space</t>
  </si>
  <si>
    <t>Impervious</t>
  </si>
  <si>
    <t>WCN</t>
  </si>
  <si>
    <t>R=</t>
  </si>
  <si>
    <t>Pervious Area Curve Number</t>
  </si>
  <si>
    <t>Ratio of Disconnected to Total Impervious Area</t>
  </si>
  <si>
    <t>Adjusted CN:</t>
  </si>
  <si>
    <t>cf</t>
  </si>
  <si>
    <r>
      <t>CN</t>
    </r>
    <r>
      <rPr>
        <vertAlign val="subscript"/>
        <sz val="10"/>
        <rFont val="Arial"/>
        <family val="2"/>
      </rPr>
      <t>c</t>
    </r>
    <r>
      <rPr>
        <sz val="10"/>
        <rFont val="Arial"/>
        <family val="2"/>
      </rPr>
      <t>=CN</t>
    </r>
    <r>
      <rPr>
        <vertAlign val="subscript"/>
        <sz val="10"/>
        <rFont val="Arial"/>
        <family val="2"/>
      </rPr>
      <t>p</t>
    </r>
    <r>
      <rPr>
        <sz val="10"/>
        <rFont val="Arial"/>
        <family val="2"/>
      </rPr>
      <t>+(P</t>
    </r>
    <r>
      <rPr>
        <vertAlign val="subscript"/>
        <sz val="10"/>
        <rFont val="Arial"/>
        <family val="2"/>
      </rPr>
      <t>imp</t>
    </r>
    <r>
      <rPr>
        <sz val="10"/>
        <rFont val="Arial"/>
        <family val="2"/>
      </rPr>
      <t>/100)*(98-CN</t>
    </r>
    <r>
      <rPr>
        <vertAlign val="subscript"/>
        <sz val="10"/>
        <rFont val="Arial"/>
        <family val="2"/>
      </rPr>
      <t>p</t>
    </r>
    <r>
      <rPr>
        <sz val="10"/>
        <rFont val="Arial"/>
        <family val="2"/>
      </rPr>
      <t>)*(1-0.5R)</t>
    </r>
  </si>
  <si>
    <r>
      <t>CN</t>
    </r>
    <r>
      <rPr>
        <vertAlign val="subscript"/>
        <sz val="10"/>
        <rFont val="Arial"/>
        <family val="2"/>
      </rPr>
      <t>p</t>
    </r>
    <r>
      <rPr>
        <sz val="10"/>
        <rFont val="Arial"/>
        <family val="2"/>
      </rPr>
      <t>=</t>
    </r>
  </si>
  <si>
    <t>inches</t>
  </si>
  <si>
    <t>HSG</t>
  </si>
  <si>
    <t>Land-use</t>
  </si>
  <si>
    <t>CN</t>
  </si>
  <si>
    <t>Woods, Good Cond.</t>
  </si>
  <si>
    <t>Pasture or Open Space, Good Cond.</t>
  </si>
  <si>
    <t>A=0</t>
  </si>
  <si>
    <t>B=1</t>
  </si>
  <si>
    <t>C=2</t>
  </si>
  <si>
    <t>D=3</t>
  </si>
  <si>
    <t>Pasture = 10</t>
  </si>
  <si>
    <t>Woods = 20</t>
  </si>
  <si>
    <t>Impervious = 0</t>
  </si>
  <si>
    <t>User Defined</t>
  </si>
  <si>
    <t>Pre-development CN =</t>
  </si>
  <si>
    <t>Select HSG</t>
  </si>
  <si>
    <t>Select Land-use</t>
  </si>
  <si>
    <t>Area (acres)</t>
  </si>
  <si>
    <t>CURVE NUMBER:</t>
  </si>
  <si>
    <t>TIME OF CONCENTRATION:</t>
  </si>
  <si>
    <t>Sheet Flow:</t>
  </si>
  <si>
    <t>Shallow Flow:</t>
  </si>
  <si>
    <t>Channel Flow:</t>
  </si>
  <si>
    <t>Slope (ft/ft)</t>
  </si>
  <si>
    <t>Surface Cover</t>
  </si>
  <si>
    <t>Length (ft)</t>
  </si>
  <si>
    <t>Paved or Bare Soil</t>
  </si>
  <si>
    <t>Grass</t>
  </si>
  <si>
    <t>Paved</t>
  </si>
  <si>
    <t>Unpaved</t>
  </si>
  <si>
    <t>n-value</t>
  </si>
  <si>
    <t>Wetted Perimeter (ft)</t>
  </si>
  <si>
    <r>
      <t>Pre-development T</t>
    </r>
    <r>
      <rPr>
        <b/>
        <vertAlign val="subscript"/>
        <sz val="12"/>
        <rFont val="Arial"/>
        <family val="2"/>
      </rPr>
      <t>c</t>
    </r>
    <r>
      <rPr>
        <b/>
        <sz val="12"/>
        <rFont val="Arial"/>
        <family val="2"/>
      </rPr>
      <t xml:space="preserve"> =</t>
    </r>
  </si>
  <si>
    <t>hrs</t>
  </si>
  <si>
    <r>
      <t>T</t>
    </r>
    <r>
      <rPr>
        <b/>
        <vertAlign val="subscript"/>
        <sz val="10"/>
        <rFont val="Arial"/>
        <family val="2"/>
      </rPr>
      <t>t</t>
    </r>
    <r>
      <rPr>
        <b/>
        <sz val="10"/>
        <rFont val="Arial"/>
        <family val="2"/>
      </rPr>
      <t xml:space="preserve"> (hrs)</t>
    </r>
  </si>
  <si>
    <r>
      <t>Flow Area (ft</t>
    </r>
    <r>
      <rPr>
        <b/>
        <vertAlign val="superscript"/>
        <sz val="10"/>
        <rFont val="Arial"/>
        <family val="2"/>
      </rPr>
      <t>2</t>
    </r>
    <r>
      <rPr>
        <b/>
        <sz val="10"/>
        <rFont val="Arial"/>
        <family val="2"/>
      </rPr>
      <t>)</t>
    </r>
  </si>
  <si>
    <t>Post-Development CN =</t>
  </si>
  <si>
    <r>
      <t>Post-development T</t>
    </r>
    <r>
      <rPr>
        <b/>
        <vertAlign val="subscript"/>
        <sz val="12"/>
        <rFont val="Arial"/>
        <family val="2"/>
      </rPr>
      <t>c</t>
    </r>
    <r>
      <rPr>
        <b/>
        <sz val="12"/>
        <rFont val="Arial"/>
        <family val="2"/>
      </rPr>
      <t xml:space="preserve"> =</t>
    </r>
  </si>
  <si>
    <t>Ia=.2*S</t>
  </si>
  <si>
    <t>S=</t>
  </si>
  <si>
    <t>Ia/P</t>
  </si>
  <si>
    <t>C0</t>
  </si>
  <si>
    <t>C1</t>
  </si>
  <si>
    <t>C2</t>
  </si>
  <si>
    <t>log(qu)=</t>
  </si>
  <si>
    <t>Qp=</t>
  </si>
  <si>
    <t>cfs</t>
  </si>
  <si>
    <t>Pre-development</t>
  </si>
  <si>
    <r>
      <t>Q</t>
    </r>
    <r>
      <rPr>
        <b/>
        <vertAlign val="subscript"/>
        <sz val="12"/>
        <rFont val="Arial"/>
        <family val="2"/>
      </rPr>
      <t xml:space="preserve">1-year </t>
    </r>
    <r>
      <rPr>
        <b/>
        <sz val="12"/>
        <rFont val="Arial"/>
        <family val="2"/>
      </rPr>
      <t xml:space="preserve">= </t>
    </r>
  </si>
  <si>
    <t>Post-development</t>
  </si>
  <si>
    <t>PEAK FLOW:</t>
  </si>
  <si>
    <t>Type of Device</t>
  </si>
  <si>
    <t>Bioretention</t>
  </si>
  <si>
    <t>Infiltration Trench</t>
  </si>
  <si>
    <r>
      <t>Storage Volume Provided (ft</t>
    </r>
    <r>
      <rPr>
        <b/>
        <vertAlign val="superscript"/>
        <sz val="10"/>
        <rFont val="Arial"/>
        <family val="2"/>
      </rPr>
      <t>3</t>
    </r>
    <r>
      <rPr>
        <b/>
        <sz val="10"/>
        <rFont val="Arial"/>
        <family val="2"/>
      </rPr>
      <t>)</t>
    </r>
  </si>
  <si>
    <t>Select Device</t>
  </si>
  <si>
    <t>Total Volume Provided:</t>
  </si>
  <si>
    <r>
      <t>ft</t>
    </r>
    <r>
      <rPr>
        <b/>
        <vertAlign val="superscript"/>
        <sz val="10"/>
        <rFont val="Arial"/>
        <family val="2"/>
      </rPr>
      <t>3</t>
    </r>
  </si>
  <si>
    <t>Where:</t>
  </si>
  <si>
    <r>
      <t>Q</t>
    </r>
    <r>
      <rPr>
        <vertAlign val="subscript"/>
        <sz val="10"/>
        <rFont val="Arial"/>
        <family val="2"/>
      </rPr>
      <t>p</t>
    </r>
    <r>
      <rPr>
        <sz val="10"/>
        <rFont val="Arial"/>
        <family val="0"/>
      </rPr>
      <t xml:space="preserve"> = q</t>
    </r>
    <r>
      <rPr>
        <vertAlign val="subscript"/>
        <sz val="10"/>
        <rFont val="Arial"/>
        <family val="2"/>
      </rPr>
      <t>u</t>
    </r>
    <r>
      <rPr>
        <sz val="10"/>
        <rFont val="Arial"/>
        <family val="0"/>
      </rPr>
      <t>A</t>
    </r>
    <r>
      <rPr>
        <vertAlign val="subscript"/>
        <sz val="10"/>
        <rFont val="Arial"/>
        <family val="2"/>
      </rPr>
      <t>m</t>
    </r>
    <r>
      <rPr>
        <sz val="10"/>
        <rFont val="Arial"/>
        <family val="0"/>
      </rPr>
      <t>Q*</t>
    </r>
  </si>
  <si>
    <t>Q* = runoff (inches)</t>
  </si>
  <si>
    <r>
      <t>Q</t>
    </r>
    <r>
      <rPr>
        <vertAlign val="subscript"/>
        <sz val="10"/>
        <rFont val="Arial"/>
        <family val="2"/>
      </rPr>
      <t>p</t>
    </r>
    <r>
      <rPr>
        <sz val="10"/>
        <rFont val="Arial"/>
        <family val="0"/>
      </rPr>
      <t xml:space="preserve"> = Peak Discharge (cfs)</t>
    </r>
  </si>
  <si>
    <r>
      <t>q</t>
    </r>
    <r>
      <rPr>
        <vertAlign val="subscript"/>
        <sz val="10"/>
        <rFont val="Arial"/>
        <family val="2"/>
      </rPr>
      <t>u</t>
    </r>
    <r>
      <rPr>
        <sz val="10"/>
        <rFont val="Arial"/>
        <family val="0"/>
      </rPr>
      <t xml:space="preserve"> = Unit peak discharge (csm/in) </t>
    </r>
    <r>
      <rPr>
        <i/>
        <sz val="10"/>
        <rFont val="Arial"/>
        <family val="2"/>
      </rPr>
      <t>TR-55 Appendix F</t>
    </r>
  </si>
  <si>
    <r>
      <t>A</t>
    </r>
    <r>
      <rPr>
        <vertAlign val="subscript"/>
        <sz val="10"/>
        <rFont val="Arial"/>
        <family val="2"/>
      </rPr>
      <t>m</t>
    </r>
    <r>
      <rPr>
        <sz val="10"/>
        <rFont val="Arial"/>
        <family val="0"/>
      </rPr>
      <t xml:space="preserve"> = Drainage Area (mi</t>
    </r>
    <r>
      <rPr>
        <vertAlign val="superscript"/>
        <sz val="10"/>
        <rFont val="Arial"/>
        <family val="2"/>
      </rPr>
      <t>2</t>
    </r>
    <r>
      <rPr>
        <sz val="10"/>
        <rFont val="Arial"/>
        <family val="0"/>
      </rPr>
      <t>)</t>
    </r>
  </si>
  <si>
    <r>
      <t>A</t>
    </r>
    <r>
      <rPr>
        <vertAlign val="subscript"/>
        <sz val="10"/>
        <rFont val="Arial"/>
        <family val="2"/>
      </rPr>
      <t>m</t>
    </r>
    <r>
      <rPr>
        <sz val="10"/>
        <rFont val="Arial"/>
        <family val="2"/>
      </rPr>
      <t xml:space="preserve"> =</t>
    </r>
  </si>
  <si>
    <t>csm/in</t>
  </si>
  <si>
    <r>
      <t>mi</t>
    </r>
    <r>
      <rPr>
        <vertAlign val="superscript"/>
        <sz val="10"/>
        <rFont val="Arial"/>
        <family val="2"/>
      </rPr>
      <t>2</t>
    </r>
  </si>
  <si>
    <r>
      <t>Pre-development T</t>
    </r>
    <r>
      <rPr>
        <b/>
        <vertAlign val="subscript"/>
        <sz val="11"/>
        <rFont val="Arial"/>
        <family val="2"/>
      </rPr>
      <t>c</t>
    </r>
    <r>
      <rPr>
        <b/>
        <sz val="11"/>
        <rFont val="Arial"/>
        <family val="2"/>
      </rPr>
      <t xml:space="preserve"> =</t>
    </r>
  </si>
  <si>
    <r>
      <t>Post-development T</t>
    </r>
    <r>
      <rPr>
        <b/>
        <vertAlign val="subscript"/>
        <sz val="11"/>
        <rFont val="Arial"/>
        <family val="2"/>
      </rPr>
      <t>c</t>
    </r>
    <r>
      <rPr>
        <b/>
        <sz val="11"/>
        <rFont val="Arial"/>
        <family val="2"/>
      </rPr>
      <t xml:space="preserve"> =</t>
    </r>
  </si>
  <si>
    <r>
      <t>(P+2Q+2) - (5PQ+4Q</t>
    </r>
    <r>
      <rPr>
        <vertAlign val="superscript"/>
        <sz val="10"/>
        <rFont val="Arial"/>
        <family val="2"/>
      </rPr>
      <t>2</t>
    </r>
    <r>
      <rPr>
        <sz val="10"/>
        <rFont val="Arial"/>
        <family val="0"/>
      </rPr>
      <t>)</t>
    </r>
    <r>
      <rPr>
        <vertAlign val="superscript"/>
        <sz val="10"/>
        <rFont val="Arial"/>
        <family val="2"/>
      </rPr>
      <t>1/2</t>
    </r>
  </si>
  <si>
    <t>Post-Development Curve Number Adjustment based on Volume Provided</t>
  </si>
  <si>
    <t>Q = Runoff Depth for Proposed CN (Q*) - Volume Provided (inches)</t>
  </si>
  <si>
    <t>Q*=</t>
  </si>
  <si>
    <r>
      <t>CN</t>
    </r>
    <r>
      <rPr>
        <vertAlign val="subscript"/>
        <sz val="10"/>
        <rFont val="Arial"/>
        <family val="2"/>
      </rPr>
      <t>adj</t>
    </r>
    <r>
      <rPr>
        <sz val="10"/>
        <rFont val="Arial"/>
        <family val="0"/>
      </rPr>
      <t xml:space="preserve"> =</t>
    </r>
  </si>
  <si>
    <t>PRE-DEVELOPMENT CALCULATIONS</t>
  </si>
  <si>
    <t>POST-DEVELOPMENT CALCULATIONS</t>
  </si>
  <si>
    <t>PEAK FLOW CALCULATIONS</t>
  </si>
  <si>
    <t>PROPOSED STORAGE DEVICES</t>
  </si>
  <si>
    <t>Total Area:</t>
  </si>
  <si>
    <t>Percent Impervious:</t>
  </si>
  <si>
    <t>Site Data</t>
  </si>
  <si>
    <r>
      <t>ft</t>
    </r>
    <r>
      <rPr>
        <vertAlign val="superscript"/>
        <sz val="11"/>
        <rFont val="Arial"/>
        <family val="2"/>
      </rPr>
      <t>3</t>
    </r>
  </si>
  <si>
    <t>OS</t>
  </si>
  <si>
    <t>Pervious?</t>
  </si>
  <si>
    <t>Soil Type</t>
  </si>
  <si>
    <t>Landuse</t>
  </si>
  <si>
    <t>Soil Type + Landuse</t>
  </si>
  <si>
    <t>Lots?</t>
  </si>
  <si>
    <t>Totals</t>
  </si>
  <si>
    <t xml:space="preserve">CNp= </t>
  </si>
  <si>
    <t>CNc (disconnected)=</t>
  </si>
  <si>
    <t>CNp + (Pimp/100)(98-CNp)(1-0.5R)</t>
  </si>
  <si>
    <t>Total Impervious:</t>
  </si>
  <si>
    <t>Curve Number for Lots:</t>
  </si>
  <si>
    <t>Lawn</t>
  </si>
  <si>
    <t>% Area</t>
  </si>
  <si>
    <t>Lot Curve Number:</t>
  </si>
  <si>
    <t>R =</t>
  </si>
  <si>
    <r>
      <t>P</t>
    </r>
    <r>
      <rPr>
        <vertAlign val="subscript"/>
        <sz val="10"/>
        <rFont val="Arial"/>
        <family val="2"/>
      </rPr>
      <t>imp</t>
    </r>
    <r>
      <rPr>
        <sz val="10"/>
        <rFont val="Arial"/>
        <family val="0"/>
      </rPr>
      <t xml:space="preserve"> =</t>
    </r>
  </si>
  <si>
    <r>
      <t>CN</t>
    </r>
    <r>
      <rPr>
        <b/>
        <vertAlign val="subscript"/>
        <sz val="10"/>
        <rFont val="Arial"/>
        <family val="2"/>
      </rPr>
      <t>c</t>
    </r>
    <r>
      <rPr>
        <b/>
        <sz val="10"/>
        <rFont val="Arial"/>
        <family val="2"/>
      </rPr>
      <t xml:space="preserve"> =</t>
    </r>
  </si>
  <si>
    <r>
      <t>CN</t>
    </r>
    <r>
      <rPr>
        <vertAlign val="subscript"/>
        <sz val="10"/>
        <rFont val="Arial"/>
        <family val="2"/>
      </rPr>
      <t>p</t>
    </r>
    <r>
      <rPr>
        <sz val="10"/>
        <rFont val="Arial"/>
        <family val="0"/>
      </rPr>
      <t xml:space="preserve"> =</t>
    </r>
  </si>
  <si>
    <r>
      <t>CN</t>
    </r>
    <r>
      <rPr>
        <vertAlign val="subscript"/>
        <sz val="10"/>
        <rFont val="Arial"/>
        <family val="2"/>
      </rPr>
      <t>c</t>
    </r>
    <r>
      <rPr>
        <sz val="10"/>
        <rFont val="Arial"/>
        <family val="0"/>
      </rPr>
      <t xml:space="preserve"> = CN</t>
    </r>
    <r>
      <rPr>
        <vertAlign val="subscript"/>
        <sz val="10"/>
        <rFont val="Arial"/>
        <family val="2"/>
      </rPr>
      <t>p</t>
    </r>
    <r>
      <rPr>
        <sz val="10"/>
        <rFont val="Arial"/>
        <family val="0"/>
      </rPr>
      <t xml:space="preserve"> + [(P</t>
    </r>
    <r>
      <rPr>
        <vertAlign val="subscript"/>
        <sz val="10"/>
        <rFont val="Arial"/>
        <family val="2"/>
      </rPr>
      <t>imp</t>
    </r>
    <r>
      <rPr>
        <sz val="10"/>
        <rFont val="Arial"/>
        <family val="0"/>
      </rPr>
      <t>/100)*(98-CN</t>
    </r>
    <r>
      <rPr>
        <vertAlign val="subscript"/>
        <sz val="10"/>
        <rFont val="Arial"/>
        <family val="2"/>
      </rPr>
      <t>p</t>
    </r>
    <r>
      <rPr>
        <sz val="10"/>
        <rFont val="Arial"/>
        <family val="0"/>
      </rPr>
      <t>)*(1-(0.5*R))]</t>
    </r>
  </si>
  <si>
    <t>CN w/o Disconnection=</t>
  </si>
  <si>
    <t>Supporting Calculations:</t>
  </si>
  <si>
    <t>Woods?</t>
  </si>
  <si>
    <t>Source:  "Modeling Infiltration Practices Using TR-20", October, 1983, Maryland Department of the Environment</t>
  </si>
  <si>
    <t>Average Lot Size:</t>
  </si>
  <si>
    <t>(Minimum 5 minutes)</t>
  </si>
  <si>
    <t>where:</t>
  </si>
  <si>
    <t>=</t>
  </si>
  <si>
    <t>Proposed Q*=</t>
  </si>
  <si>
    <t>(1000/CN)-10</t>
  </si>
  <si>
    <r>
      <t>(P - 0.2S)</t>
    </r>
    <r>
      <rPr>
        <vertAlign val="superscript"/>
        <sz val="10"/>
        <rFont val="Arial"/>
        <family val="2"/>
      </rPr>
      <t>2</t>
    </r>
    <r>
      <rPr>
        <sz val="10"/>
        <rFont val="Arial"/>
        <family val="0"/>
      </rPr>
      <t>/(P + 0.8S)</t>
    </r>
  </si>
  <si>
    <t>Runoff Calculation:</t>
  </si>
  <si>
    <r>
      <t>T</t>
    </r>
    <r>
      <rPr>
        <vertAlign val="subscript"/>
        <sz val="10"/>
        <rFont val="Arial"/>
        <family val="2"/>
      </rPr>
      <t>c</t>
    </r>
    <r>
      <rPr>
        <sz val="10"/>
        <rFont val="Arial"/>
        <family val="0"/>
      </rPr>
      <t xml:space="preserve"> = T</t>
    </r>
    <r>
      <rPr>
        <vertAlign val="subscript"/>
        <sz val="10"/>
        <rFont val="Arial"/>
        <family val="2"/>
      </rPr>
      <t>t Sheet</t>
    </r>
    <r>
      <rPr>
        <sz val="10"/>
        <rFont val="Arial"/>
        <family val="0"/>
      </rPr>
      <t xml:space="preserve"> + T</t>
    </r>
    <r>
      <rPr>
        <vertAlign val="subscript"/>
        <sz val="10"/>
        <rFont val="Arial"/>
        <family val="2"/>
      </rPr>
      <t>t Shallow</t>
    </r>
    <r>
      <rPr>
        <sz val="10"/>
        <rFont val="Arial"/>
        <family val="0"/>
      </rPr>
      <t xml:space="preserve"> + T</t>
    </r>
    <r>
      <rPr>
        <vertAlign val="subscript"/>
        <sz val="10"/>
        <rFont val="Arial"/>
        <family val="2"/>
      </rPr>
      <t>t Channel</t>
    </r>
  </si>
  <si>
    <r>
      <t>T</t>
    </r>
    <r>
      <rPr>
        <vertAlign val="subscript"/>
        <sz val="10"/>
        <rFont val="Arial"/>
        <family val="2"/>
      </rPr>
      <t>t Sheet</t>
    </r>
    <r>
      <rPr>
        <sz val="10"/>
        <rFont val="Arial"/>
        <family val="0"/>
      </rPr>
      <t xml:space="preserve"> =</t>
    </r>
  </si>
  <si>
    <r>
      <t>(0.007*(n*L)</t>
    </r>
    <r>
      <rPr>
        <vertAlign val="superscript"/>
        <sz val="10"/>
        <rFont val="Arial"/>
        <family val="2"/>
      </rPr>
      <t>0.8</t>
    </r>
    <r>
      <rPr>
        <sz val="10"/>
        <rFont val="Arial"/>
        <family val="0"/>
      </rPr>
      <t>)/(P</t>
    </r>
    <r>
      <rPr>
        <vertAlign val="subscript"/>
        <sz val="10"/>
        <rFont val="Arial"/>
        <family val="2"/>
      </rPr>
      <t>2</t>
    </r>
    <r>
      <rPr>
        <sz val="10"/>
        <rFont val="Arial"/>
        <family val="0"/>
      </rPr>
      <t>)</t>
    </r>
    <r>
      <rPr>
        <vertAlign val="superscript"/>
        <sz val="10"/>
        <rFont val="Arial"/>
        <family val="2"/>
      </rPr>
      <t>0.5</t>
    </r>
    <r>
      <rPr>
        <sz val="10"/>
        <rFont val="Arial"/>
        <family val="0"/>
      </rPr>
      <t>*s</t>
    </r>
    <r>
      <rPr>
        <vertAlign val="superscript"/>
        <sz val="10"/>
        <rFont val="Arial"/>
        <family val="2"/>
      </rPr>
      <t>0.4</t>
    </r>
  </si>
  <si>
    <t>0.011 for Paved Surface, 0.24 for Grass, and 0.40 for Woods</t>
  </si>
  <si>
    <t>L =</t>
  </si>
  <si>
    <t>n =</t>
  </si>
  <si>
    <t>Flow Length (feet)</t>
  </si>
  <si>
    <t>s =</t>
  </si>
  <si>
    <t>slope (ft/ft)</t>
  </si>
  <si>
    <r>
      <t>P</t>
    </r>
    <r>
      <rPr>
        <i/>
        <vertAlign val="subscript"/>
        <sz val="9"/>
        <rFont val="Arial"/>
        <family val="2"/>
      </rPr>
      <t>2</t>
    </r>
    <r>
      <rPr>
        <i/>
        <sz val="9"/>
        <rFont val="Arial"/>
        <family val="2"/>
      </rPr>
      <t xml:space="preserve"> =</t>
    </r>
  </si>
  <si>
    <r>
      <t>T</t>
    </r>
    <r>
      <rPr>
        <vertAlign val="subscript"/>
        <sz val="10"/>
        <rFont val="Arial"/>
        <family val="2"/>
      </rPr>
      <t>t Shallow</t>
    </r>
    <r>
      <rPr>
        <sz val="10"/>
        <rFont val="Arial"/>
        <family val="0"/>
      </rPr>
      <t xml:space="preserve"> =</t>
    </r>
  </si>
  <si>
    <t>Unpaved Shallow Flow:</t>
  </si>
  <si>
    <t>V =</t>
  </si>
  <si>
    <t>Paved Shallow Flow:</t>
  </si>
  <si>
    <r>
      <t>20.3282 (s)</t>
    </r>
    <r>
      <rPr>
        <vertAlign val="superscript"/>
        <sz val="10"/>
        <rFont val="Arial"/>
        <family val="2"/>
      </rPr>
      <t>0.5</t>
    </r>
  </si>
  <si>
    <t>L/(3600*V)</t>
  </si>
  <si>
    <r>
      <t>16.1345 (s)</t>
    </r>
    <r>
      <rPr>
        <vertAlign val="superscript"/>
        <sz val="10"/>
        <rFont val="Arial"/>
        <family val="2"/>
      </rPr>
      <t>0.5</t>
    </r>
  </si>
  <si>
    <r>
      <t>T</t>
    </r>
    <r>
      <rPr>
        <vertAlign val="subscript"/>
        <sz val="10"/>
        <rFont val="Arial"/>
        <family val="2"/>
      </rPr>
      <t>t Channel</t>
    </r>
    <r>
      <rPr>
        <sz val="10"/>
        <rFont val="Arial"/>
        <family val="0"/>
      </rPr>
      <t xml:space="preserve"> =</t>
    </r>
  </si>
  <si>
    <t>V=</t>
  </si>
  <si>
    <r>
      <t>[(1.49*r</t>
    </r>
    <r>
      <rPr>
        <vertAlign val="superscript"/>
        <sz val="10"/>
        <rFont val="Arial"/>
        <family val="2"/>
      </rPr>
      <t>(2/3)</t>
    </r>
    <r>
      <rPr>
        <sz val="10"/>
        <rFont val="Arial"/>
        <family val="0"/>
      </rPr>
      <t>*s</t>
    </r>
    <r>
      <rPr>
        <vertAlign val="superscript"/>
        <sz val="10"/>
        <rFont val="Arial"/>
        <family val="2"/>
      </rPr>
      <t>(1/2)</t>
    </r>
    <r>
      <rPr>
        <sz val="10"/>
        <rFont val="Arial"/>
        <family val="0"/>
      </rPr>
      <t>]/n</t>
    </r>
  </si>
  <si>
    <t>n = Manning's n-value</t>
  </si>
  <si>
    <t>r = hydraulic radius (ft) = Flow Area/Wetted Perimeter</t>
  </si>
  <si>
    <t>s = slope (ft/ft)</t>
  </si>
  <si>
    <t>Project #:</t>
  </si>
  <si>
    <t>QUICK SITE CALCULATOR</t>
  </si>
  <si>
    <t>Project Name:</t>
  </si>
  <si>
    <t>Project Number:</t>
  </si>
  <si>
    <t>Design Firm Name:</t>
  </si>
  <si>
    <r>
      <t>Time of Concentration Calculations:</t>
    </r>
    <r>
      <rPr>
        <i/>
        <sz val="8"/>
        <rFont val="Arial"/>
        <family val="2"/>
      </rPr>
      <t xml:space="preserve">  (Reference: NRCS TR-55)</t>
    </r>
  </si>
  <si>
    <t xml:space="preserve">% </t>
  </si>
  <si>
    <t>Residential Lot Data: (If Applicable)</t>
  </si>
  <si>
    <t>Percent of Impervious on Lots:</t>
  </si>
  <si>
    <t>Impervious (Connected)</t>
  </si>
  <si>
    <t>Impervious (Disconnected)</t>
  </si>
  <si>
    <t>Woods (Preserved Open Space)</t>
  </si>
  <si>
    <t>Open Space (Managed Open Space)</t>
  </si>
  <si>
    <t>Lots (Excluding R/W and Open Space)</t>
  </si>
  <si>
    <t>Dis?</t>
  </si>
  <si>
    <t>Con?</t>
  </si>
  <si>
    <t>Total Disconnected:</t>
  </si>
  <si>
    <t>Enter Project Data:</t>
  </si>
  <si>
    <t>1-yr, 24-hr</t>
  </si>
  <si>
    <t>2-yr, 24-hr</t>
  </si>
  <si>
    <t>10-yr, 24-hr</t>
  </si>
  <si>
    <t>25-yr, 24-hr</t>
  </si>
  <si>
    <t>100-yr, 24-hr</t>
  </si>
  <si>
    <t>% Impervious?</t>
  </si>
  <si>
    <t>Disconnection Calculation for Entire Site:</t>
  </si>
  <si>
    <r>
      <t>Proposed Q*</t>
    </r>
    <r>
      <rPr>
        <b/>
        <vertAlign val="subscript"/>
        <sz val="10"/>
        <rFont val="Arial"/>
        <family val="2"/>
      </rPr>
      <t>1-yr</t>
    </r>
    <r>
      <rPr>
        <b/>
        <sz val="10"/>
        <rFont val="Arial"/>
        <family val="2"/>
      </rPr>
      <t>=</t>
    </r>
  </si>
  <si>
    <t>First Flush</t>
  </si>
  <si>
    <r>
      <t>P</t>
    </r>
    <r>
      <rPr>
        <vertAlign val="subscript"/>
        <sz val="10"/>
        <rFont val="Arial"/>
        <family val="2"/>
      </rPr>
      <t>FF</t>
    </r>
    <r>
      <rPr>
        <sz val="10"/>
        <rFont val="Arial"/>
        <family val="0"/>
      </rPr>
      <t>=</t>
    </r>
  </si>
  <si>
    <r>
      <t>P</t>
    </r>
    <r>
      <rPr>
        <vertAlign val="subscript"/>
        <sz val="10"/>
        <rFont val="Arial"/>
        <family val="2"/>
      </rPr>
      <t>1-yr</t>
    </r>
    <r>
      <rPr>
        <sz val="10"/>
        <rFont val="Arial"/>
        <family val="0"/>
      </rPr>
      <t>=</t>
    </r>
  </si>
  <si>
    <t>Depth (inches)</t>
  </si>
  <si>
    <t>S-CNp=</t>
  </si>
  <si>
    <t>S-CNimp=</t>
  </si>
  <si>
    <r>
      <t>Proposed Q*</t>
    </r>
    <r>
      <rPr>
        <b/>
        <vertAlign val="subscript"/>
        <sz val="10"/>
        <rFont val="Arial"/>
        <family val="2"/>
      </rPr>
      <t>FF (C. Imp.)</t>
    </r>
    <r>
      <rPr>
        <b/>
        <sz val="10"/>
        <rFont val="Arial"/>
        <family val="2"/>
      </rPr>
      <t>=</t>
    </r>
  </si>
  <si>
    <r>
      <t>Proposed Q*</t>
    </r>
    <r>
      <rPr>
        <b/>
        <vertAlign val="subscript"/>
        <sz val="10"/>
        <rFont val="Arial"/>
        <family val="2"/>
      </rPr>
      <t>FF (Pervious)</t>
    </r>
    <r>
      <rPr>
        <b/>
        <sz val="10"/>
        <rFont val="Arial"/>
        <family val="2"/>
      </rPr>
      <t>=</t>
    </r>
  </si>
  <si>
    <t>Runoff Volume for 1-yr Storm:</t>
  </si>
  <si>
    <t>Runoff Volume for First Flush:</t>
  </si>
  <si>
    <t>acre-inches</t>
  </si>
  <si>
    <t>Imp. Area=</t>
  </si>
  <si>
    <t>imp?</t>
  </si>
  <si>
    <t>CNp=</t>
  </si>
  <si>
    <t>Simp=</t>
  </si>
  <si>
    <t>Soil</t>
  </si>
  <si>
    <t>Soil + Landuse</t>
  </si>
  <si>
    <t>Sperv=</t>
  </si>
  <si>
    <t>**First Flush Q* and Volume Calculated using Discrete Curve Number Method**</t>
  </si>
  <si>
    <t>2-year, 24-hour rainfall (inches)</t>
  </si>
  <si>
    <t>P = Rainfall (inches)</t>
  </si>
  <si>
    <r>
      <t>Post-Development CN</t>
    </r>
    <r>
      <rPr>
        <b/>
        <vertAlign val="subscript"/>
        <sz val="11"/>
        <rFont val="Arial"/>
        <family val="2"/>
      </rPr>
      <t>adj</t>
    </r>
    <r>
      <rPr>
        <b/>
        <sz val="11"/>
        <rFont val="Arial"/>
        <family val="2"/>
      </rPr>
      <t xml:space="preserve"> 1-yr Storm=</t>
    </r>
  </si>
  <si>
    <r>
      <t>Q*</t>
    </r>
    <r>
      <rPr>
        <vertAlign val="subscript"/>
        <sz val="10"/>
        <rFont val="Arial"/>
        <family val="2"/>
      </rPr>
      <t>1-yr</t>
    </r>
    <r>
      <rPr>
        <sz val="10"/>
        <rFont val="Arial"/>
        <family val="0"/>
      </rPr>
      <t xml:space="preserve"> = </t>
    </r>
  </si>
  <si>
    <r>
      <t>Q</t>
    </r>
    <r>
      <rPr>
        <vertAlign val="subscript"/>
        <sz val="10"/>
        <rFont val="Arial"/>
        <family val="2"/>
      </rPr>
      <t>1-yr</t>
    </r>
    <r>
      <rPr>
        <sz val="10"/>
        <rFont val="Arial"/>
        <family val="0"/>
      </rPr>
      <t xml:space="preserve"> =</t>
    </r>
  </si>
  <si>
    <t>Note:  For Peak Flow Calculations See Peak Flow Worksheet</t>
  </si>
  <si>
    <r>
      <t>Q*</t>
    </r>
    <r>
      <rPr>
        <vertAlign val="subscript"/>
        <sz val="10"/>
        <rFont val="Arial"/>
        <family val="2"/>
      </rPr>
      <t>10-yr</t>
    </r>
    <r>
      <rPr>
        <sz val="10"/>
        <rFont val="Arial"/>
        <family val="0"/>
      </rPr>
      <t xml:space="preserve"> = </t>
    </r>
  </si>
  <si>
    <r>
      <t>Q</t>
    </r>
    <r>
      <rPr>
        <vertAlign val="subscript"/>
        <sz val="10"/>
        <rFont val="Arial"/>
        <family val="2"/>
      </rPr>
      <t>10-yr</t>
    </r>
    <r>
      <rPr>
        <sz val="10"/>
        <rFont val="Arial"/>
        <family val="0"/>
      </rPr>
      <t xml:space="preserve"> =</t>
    </r>
  </si>
  <si>
    <r>
      <t>Post-Development CN</t>
    </r>
    <r>
      <rPr>
        <b/>
        <vertAlign val="subscript"/>
        <sz val="11"/>
        <rFont val="Arial"/>
        <family val="2"/>
      </rPr>
      <t>adj</t>
    </r>
    <r>
      <rPr>
        <b/>
        <sz val="11"/>
        <rFont val="Arial"/>
        <family val="2"/>
      </rPr>
      <t xml:space="preserve"> 10-yr Storm=</t>
    </r>
  </si>
  <si>
    <t>Unadjusted Post-Development CN=</t>
  </si>
  <si>
    <t>Q*10-yr=</t>
  </si>
  <si>
    <r>
      <t>Post-Development CN</t>
    </r>
    <r>
      <rPr>
        <b/>
        <vertAlign val="subscript"/>
        <sz val="11"/>
        <rFont val="Arial"/>
        <family val="2"/>
      </rPr>
      <t>adj</t>
    </r>
    <r>
      <rPr>
        <b/>
        <sz val="11"/>
        <rFont val="Arial"/>
        <family val="2"/>
      </rPr>
      <t xml:space="preserve"> 25-yr Storm=</t>
    </r>
  </si>
  <si>
    <r>
      <t>Q*</t>
    </r>
    <r>
      <rPr>
        <vertAlign val="subscript"/>
        <sz val="10"/>
        <rFont val="Arial"/>
        <family val="2"/>
      </rPr>
      <t>25-yr</t>
    </r>
    <r>
      <rPr>
        <sz val="10"/>
        <rFont val="Arial"/>
        <family val="0"/>
      </rPr>
      <t xml:space="preserve"> = </t>
    </r>
  </si>
  <si>
    <r>
      <t>Q</t>
    </r>
    <r>
      <rPr>
        <vertAlign val="subscript"/>
        <sz val="10"/>
        <rFont val="Arial"/>
        <family val="2"/>
      </rPr>
      <t>25-yr</t>
    </r>
    <r>
      <rPr>
        <sz val="10"/>
        <rFont val="Arial"/>
        <family val="0"/>
      </rPr>
      <t xml:space="preserve"> =</t>
    </r>
  </si>
  <si>
    <t>Q*25-yr=</t>
  </si>
  <si>
    <t>Q*100-yr=</t>
  </si>
  <si>
    <r>
      <t>Q*</t>
    </r>
    <r>
      <rPr>
        <vertAlign val="subscript"/>
        <sz val="10"/>
        <rFont val="Arial"/>
        <family val="2"/>
      </rPr>
      <t>100-yr</t>
    </r>
    <r>
      <rPr>
        <sz val="10"/>
        <rFont val="Arial"/>
        <family val="0"/>
      </rPr>
      <t xml:space="preserve"> = </t>
    </r>
  </si>
  <si>
    <r>
      <t>Q</t>
    </r>
    <r>
      <rPr>
        <vertAlign val="subscript"/>
        <sz val="10"/>
        <rFont val="Arial"/>
        <family val="2"/>
      </rPr>
      <t>100-yr</t>
    </r>
    <r>
      <rPr>
        <sz val="10"/>
        <rFont val="Arial"/>
        <family val="0"/>
      </rPr>
      <t xml:space="preserve"> =</t>
    </r>
  </si>
  <si>
    <r>
      <t>Post-Development CN</t>
    </r>
    <r>
      <rPr>
        <b/>
        <vertAlign val="subscript"/>
        <sz val="11"/>
        <rFont val="Arial"/>
        <family val="2"/>
      </rPr>
      <t>adj</t>
    </r>
    <r>
      <rPr>
        <b/>
        <sz val="11"/>
        <rFont val="Arial"/>
        <family val="2"/>
      </rPr>
      <t xml:space="preserve"> 100-yr Storm=</t>
    </r>
  </si>
  <si>
    <t>Method:  TR-55 Graphical Peak Discharge Method for Type III Distribution</t>
  </si>
  <si>
    <t>1-yr Post:</t>
  </si>
  <si>
    <r>
      <t>Q*</t>
    </r>
    <r>
      <rPr>
        <vertAlign val="subscript"/>
        <sz val="10"/>
        <rFont val="Arial"/>
        <family val="2"/>
      </rPr>
      <t>1-yr</t>
    </r>
    <r>
      <rPr>
        <sz val="10"/>
        <rFont val="Arial"/>
        <family val="0"/>
      </rPr>
      <t xml:space="preserve"> =</t>
    </r>
  </si>
  <si>
    <r>
      <t>Q*</t>
    </r>
    <r>
      <rPr>
        <vertAlign val="subscript"/>
        <sz val="10"/>
        <rFont val="Arial"/>
        <family val="2"/>
      </rPr>
      <t>10-yr</t>
    </r>
    <r>
      <rPr>
        <sz val="10"/>
        <rFont val="Arial"/>
        <family val="0"/>
      </rPr>
      <t xml:space="preserve"> =</t>
    </r>
  </si>
  <si>
    <r>
      <t>Q*</t>
    </r>
    <r>
      <rPr>
        <vertAlign val="subscript"/>
        <sz val="10"/>
        <rFont val="Arial"/>
        <family val="2"/>
      </rPr>
      <t>100-yr</t>
    </r>
    <r>
      <rPr>
        <sz val="10"/>
        <rFont val="Arial"/>
        <family val="0"/>
      </rPr>
      <t xml:space="preserve"> =</t>
    </r>
  </si>
  <si>
    <r>
      <t>Q*</t>
    </r>
    <r>
      <rPr>
        <vertAlign val="subscript"/>
        <sz val="10"/>
        <rFont val="Arial"/>
        <family val="2"/>
      </rPr>
      <t>25-yr</t>
    </r>
    <r>
      <rPr>
        <sz val="10"/>
        <rFont val="Arial"/>
        <family val="0"/>
      </rPr>
      <t xml:space="preserve"> =</t>
    </r>
  </si>
  <si>
    <t>Post Q*1-yr adj=</t>
  </si>
  <si>
    <t>S 1-yr Adj=</t>
  </si>
  <si>
    <t>S 10-yr Adj=</t>
  </si>
  <si>
    <t>S 25-yr Adj=</t>
  </si>
  <si>
    <t>S 100-yr Adj=</t>
  </si>
  <si>
    <t>Post Q*10-yr adj=</t>
  </si>
  <si>
    <t>Post Q*25-yr adj=</t>
  </si>
  <si>
    <t>Post Q*100-yr adj=</t>
  </si>
  <si>
    <t>Pre Q1-yr*=</t>
  </si>
  <si>
    <t>Pre Q10-yr*=</t>
  </si>
  <si>
    <t>Pre Q25-yr*=</t>
  </si>
  <si>
    <t>Pre Q100-yr*=</t>
  </si>
  <si>
    <t>Pre-Dev</t>
  </si>
  <si>
    <t>Post-Dev</t>
  </si>
  <si>
    <r>
      <t>Q</t>
    </r>
    <r>
      <rPr>
        <b/>
        <vertAlign val="subscript"/>
        <sz val="12"/>
        <rFont val="Arial"/>
        <family val="2"/>
      </rPr>
      <t xml:space="preserve">10-year </t>
    </r>
    <r>
      <rPr>
        <b/>
        <sz val="12"/>
        <rFont val="Arial"/>
        <family val="2"/>
      </rPr>
      <t xml:space="preserve">= </t>
    </r>
  </si>
  <si>
    <r>
      <t>Q</t>
    </r>
    <r>
      <rPr>
        <b/>
        <vertAlign val="subscript"/>
        <sz val="12"/>
        <rFont val="Arial"/>
        <family val="2"/>
      </rPr>
      <t xml:space="preserve">25-year </t>
    </r>
    <r>
      <rPr>
        <b/>
        <sz val="12"/>
        <rFont val="Arial"/>
        <family val="2"/>
      </rPr>
      <t xml:space="preserve">= </t>
    </r>
  </si>
  <si>
    <r>
      <t>Q</t>
    </r>
    <r>
      <rPr>
        <b/>
        <vertAlign val="subscript"/>
        <sz val="12"/>
        <rFont val="Arial"/>
        <family val="2"/>
      </rPr>
      <t xml:space="preserve">100-year </t>
    </r>
    <r>
      <rPr>
        <b/>
        <sz val="12"/>
        <rFont val="Arial"/>
        <family val="2"/>
      </rPr>
      <t xml:space="preserve">= </t>
    </r>
  </si>
  <si>
    <t>Post</t>
  </si>
  <si>
    <t>S Post Unadj=</t>
  </si>
  <si>
    <t>Dry Detention Basin</t>
  </si>
  <si>
    <t>Wet Detention Basin</t>
  </si>
  <si>
    <t>Constructed Wetland</t>
  </si>
  <si>
    <t>10-yr Post:</t>
  </si>
  <si>
    <t>Pre 1-yr:</t>
  </si>
  <si>
    <t>Pre 10-yr:</t>
  </si>
  <si>
    <t>Pre 25-yr:</t>
  </si>
  <si>
    <t>Pre 100-yr:</t>
  </si>
  <si>
    <r>
      <t>q</t>
    </r>
    <r>
      <rPr>
        <vertAlign val="subscript"/>
        <sz val="10"/>
        <rFont val="Arial"/>
        <family val="2"/>
      </rPr>
      <t>u</t>
    </r>
    <r>
      <rPr>
        <sz val="10"/>
        <rFont val="Arial"/>
        <family val="0"/>
      </rPr>
      <t xml:space="preserve"> </t>
    </r>
    <r>
      <rPr>
        <vertAlign val="subscript"/>
        <sz val="10"/>
        <rFont val="Arial"/>
        <family val="2"/>
      </rPr>
      <t>1-yr</t>
    </r>
    <r>
      <rPr>
        <sz val="10"/>
        <rFont val="Arial"/>
        <family val="0"/>
      </rPr>
      <t xml:space="preserve"> =</t>
    </r>
  </si>
  <si>
    <r>
      <t>q</t>
    </r>
    <r>
      <rPr>
        <vertAlign val="subscript"/>
        <sz val="10"/>
        <rFont val="Arial"/>
        <family val="2"/>
      </rPr>
      <t>u</t>
    </r>
    <r>
      <rPr>
        <sz val="10"/>
        <rFont val="Arial"/>
        <family val="0"/>
      </rPr>
      <t xml:space="preserve"> </t>
    </r>
    <r>
      <rPr>
        <vertAlign val="subscript"/>
        <sz val="10"/>
        <rFont val="Arial"/>
        <family val="2"/>
      </rPr>
      <t>10-yr</t>
    </r>
    <r>
      <rPr>
        <sz val="10"/>
        <rFont val="Arial"/>
        <family val="0"/>
      </rPr>
      <t xml:space="preserve"> =</t>
    </r>
  </si>
  <si>
    <r>
      <t>q</t>
    </r>
    <r>
      <rPr>
        <vertAlign val="subscript"/>
        <sz val="10"/>
        <rFont val="Arial"/>
        <family val="2"/>
      </rPr>
      <t>u</t>
    </r>
    <r>
      <rPr>
        <sz val="10"/>
        <rFont val="Arial"/>
        <family val="0"/>
      </rPr>
      <t xml:space="preserve"> </t>
    </r>
    <r>
      <rPr>
        <vertAlign val="subscript"/>
        <sz val="10"/>
        <rFont val="Arial"/>
        <family val="2"/>
      </rPr>
      <t>25-yr</t>
    </r>
    <r>
      <rPr>
        <sz val="10"/>
        <rFont val="Arial"/>
        <family val="0"/>
      </rPr>
      <t xml:space="preserve"> =</t>
    </r>
  </si>
  <si>
    <r>
      <t>q</t>
    </r>
    <r>
      <rPr>
        <vertAlign val="subscript"/>
        <sz val="10"/>
        <rFont val="Arial"/>
        <family val="2"/>
      </rPr>
      <t>u</t>
    </r>
    <r>
      <rPr>
        <sz val="10"/>
        <rFont val="Arial"/>
        <family val="0"/>
      </rPr>
      <t xml:space="preserve"> </t>
    </r>
    <r>
      <rPr>
        <vertAlign val="subscript"/>
        <sz val="10"/>
        <rFont val="Arial"/>
        <family val="2"/>
      </rPr>
      <t>100-yr</t>
    </r>
    <r>
      <rPr>
        <sz val="10"/>
        <rFont val="Arial"/>
        <family val="0"/>
      </rPr>
      <t xml:space="preserve"> =</t>
    </r>
  </si>
  <si>
    <t>25-yr Post:</t>
  </si>
  <si>
    <t>100-yr Post:</t>
  </si>
  <si>
    <t>Receiving Stream Class:</t>
  </si>
  <si>
    <t>Non-SA</t>
  </si>
  <si>
    <t>SA</t>
  </si>
  <si>
    <t xml:space="preserve">Impervious Surface Area: </t>
  </si>
  <si>
    <t>Rainfall Data</t>
  </si>
  <si>
    <t>Pre-Development CN:</t>
  </si>
  <si>
    <t>Post-Development CN:</t>
  </si>
  <si>
    <t>Volume Required for First Flush:</t>
  </si>
  <si>
    <t>Volume Calculations</t>
  </si>
  <si>
    <t>Permeable Pavement</t>
  </si>
  <si>
    <t>Tree Box Filters</t>
  </si>
  <si>
    <t>Sand Filter</t>
  </si>
  <si>
    <t>Green Roof</t>
  </si>
  <si>
    <t>Infiltration Basin</t>
  </si>
  <si>
    <t>Rain Barrel (No DWQ Credit)</t>
  </si>
  <si>
    <t>Jurisdiction:</t>
  </si>
  <si>
    <t>Storm Event</t>
  </si>
  <si>
    <t>1-year</t>
  </si>
  <si>
    <t>2-year</t>
  </si>
  <si>
    <t>10-year</t>
  </si>
  <si>
    <t>25-year</t>
  </si>
  <si>
    <t>50-year</t>
  </si>
  <si>
    <t>100-year</t>
  </si>
  <si>
    <t>Pre-Dev. (cfs)</t>
  </si>
  <si>
    <t>Post-Dev. (cfs)</t>
  </si>
  <si>
    <t>*Note:  First flush volume listed is intended to meet requirements of Phase II rules for high density non-SA waters</t>
  </si>
  <si>
    <t>*Note: 1-yr volume listed intended to meet requirements of Phase II rules for high density SA waters (difference in runoff volume between 1-yr pre and post)</t>
  </si>
  <si>
    <t>Minimum Required Volume 
for First Flush:</t>
  </si>
  <si>
    <r>
      <t>where:
 n=0.011 for Paved Surface, 0.24 for Grass, and 0.40 for Woods  L=Flow Length (feet) 
P</t>
    </r>
    <r>
      <rPr>
        <i/>
        <vertAlign val="subscript"/>
        <sz val="9"/>
        <rFont val="Arial"/>
        <family val="2"/>
      </rPr>
      <t>2</t>
    </r>
    <r>
      <rPr>
        <i/>
        <sz val="9"/>
        <rFont val="Arial"/>
        <family val="2"/>
      </rPr>
      <t>=2-year, 24-hour rainfall (inches) 
s= slope (ft/ft)</t>
    </r>
  </si>
  <si>
    <r>
      <t xml:space="preserve">Total Area of Lots
</t>
    </r>
    <r>
      <rPr>
        <i/>
        <sz val="9"/>
        <rFont val="Arial"/>
        <family val="2"/>
      </rPr>
      <t>(Excluding R/W and Open Space)</t>
    </r>
  </si>
  <si>
    <t>Percent of Lot Impervious 
that is Disconnected:</t>
  </si>
  <si>
    <t>Location</t>
  </si>
  <si>
    <t>Name</t>
  </si>
  <si>
    <t>Pre Q50-yr*=</t>
  </si>
  <si>
    <t>Pre Q2-yr*=</t>
  </si>
  <si>
    <t>Post Q*2-yr adj=</t>
  </si>
  <si>
    <t>Post Q*50-yr adj=</t>
  </si>
  <si>
    <t>S 2-yr Adj=</t>
  </si>
  <si>
    <t>S 50-yr Adj=</t>
  </si>
  <si>
    <t>Q*50-yr=</t>
  </si>
  <si>
    <t>Q*2-yr=</t>
  </si>
  <si>
    <r>
      <t>Q*</t>
    </r>
    <r>
      <rPr>
        <vertAlign val="subscript"/>
        <sz val="10"/>
        <rFont val="Arial"/>
        <family val="2"/>
      </rPr>
      <t>2-yr</t>
    </r>
    <r>
      <rPr>
        <sz val="10"/>
        <rFont val="Arial"/>
        <family val="0"/>
      </rPr>
      <t xml:space="preserve"> = </t>
    </r>
  </si>
  <si>
    <r>
      <t>Q</t>
    </r>
    <r>
      <rPr>
        <vertAlign val="subscript"/>
        <sz val="10"/>
        <rFont val="Arial"/>
        <family val="2"/>
      </rPr>
      <t>2-yr</t>
    </r>
    <r>
      <rPr>
        <sz val="10"/>
        <rFont val="Arial"/>
        <family val="0"/>
      </rPr>
      <t xml:space="preserve"> =</t>
    </r>
  </si>
  <si>
    <r>
      <t>Post-Development CN</t>
    </r>
    <r>
      <rPr>
        <b/>
        <vertAlign val="subscript"/>
        <sz val="11"/>
        <rFont val="Arial"/>
        <family val="2"/>
      </rPr>
      <t>adj</t>
    </r>
    <r>
      <rPr>
        <b/>
        <sz val="11"/>
        <rFont val="Arial"/>
        <family val="2"/>
      </rPr>
      <t xml:space="preserve"> 2-yr Storm=</t>
    </r>
  </si>
  <si>
    <t>50-yr, 24-hr</t>
  </si>
  <si>
    <r>
      <t>Q*</t>
    </r>
    <r>
      <rPr>
        <vertAlign val="subscript"/>
        <sz val="10"/>
        <rFont val="Arial"/>
        <family val="2"/>
      </rPr>
      <t>50-yr</t>
    </r>
    <r>
      <rPr>
        <sz val="10"/>
        <rFont val="Arial"/>
        <family val="0"/>
      </rPr>
      <t xml:space="preserve"> = </t>
    </r>
  </si>
  <si>
    <r>
      <t>Q</t>
    </r>
    <r>
      <rPr>
        <vertAlign val="subscript"/>
        <sz val="10"/>
        <rFont val="Arial"/>
        <family val="2"/>
      </rPr>
      <t>50-yr</t>
    </r>
    <r>
      <rPr>
        <sz val="10"/>
        <rFont val="Arial"/>
        <family val="0"/>
      </rPr>
      <t xml:space="preserve"> =</t>
    </r>
  </si>
  <si>
    <r>
      <t>Post-Development CN</t>
    </r>
    <r>
      <rPr>
        <b/>
        <vertAlign val="subscript"/>
        <sz val="11"/>
        <rFont val="Arial"/>
        <family val="2"/>
      </rPr>
      <t>adj</t>
    </r>
    <r>
      <rPr>
        <b/>
        <sz val="11"/>
        <rFont val="Arial"/>
        <family val="2"/>
      </rPr>
      <t xml:space="preserve"> 50-yr Storm=</t>
    </r>
  </si>
  <si>
    <t>50-yr Post:</t>
  </si>
  <si>
    <t>2-yr Post:</t>
  </si>
  <si>
    <r>
      <t>Q*</t>
    </r>
    <r>
      <rPr>
        <vertAlign val="subscript"/>
        <sz val="10"/>
        <rFont val="Arial"/>
        <family val="2"/>
      </rPr>
      <t>2-yr</t>
    </r>
    <r>
      <rPr>
        <sz val="10"/>
        <rFont val="Arial"/>
        <family val="0"/>
      </rPr>
      <t xml:space="preserve"> =</t>
    </r>
  </si>
  <si>
    <r>
      <t>Q*</t>
    </r>
    <r>
      <rPr>
        <vertAlign val="subscript"/>
        <sz val="10"/>
        <rFont val="Arial"/>
        <family val="2"/>
      </rPr>
      <t>50-yr</t>
    </r>
    <r>
      <rPr>
        <sz val="10"/>
        <rFont val="Arial"/>
        <family val="0"/>
      </rPr>
      <t xml:space="preserve"> =</t>
    </r>
  </si>
  <si>
    <r>
      <t>q</t>
    </r>
    <r>
      <rPr>
        <vertAlign val="subscript"/>
        <sz val="10"/>
        <rFont val="Arial"/>
        <family val="2"/>
      </rPr>
      <t>u</t>
    </r>
    <r>
      <rPr>
        <sz val="10"/>
        <rFont val="Arial"/>
        <family val="0"/>
      </rPr>
      <t xml:space="preserve"> </t>
    </r>
    <r>
      <rPr>
        <vertAlign val="subscript"/>
        <sz val="10"/>
        <rFont val="Arial"/>
        <family val="2"/>
      </rPr>
      <t>50-yr</t>
    </r>
    <r>
      <rPr>
        <sz val="10"/>
        <rFont val="Arial"/>
        <family val="0"/>
      </rPr>
      <t xml:space="preserve"> =</t>
    </r>
  </si>
  <si>
    <r>
      <t>q</t>
    </r>
    <r>
      <rPr>
        <vertAlign val="subscript"/>
        <sz val="10"/>
        <rFont val="Arial"/>
        <family val="2"/>
      </rPr>
      <t>u</t>
    </r>
    <r>
      <rPr>
        <sz val="10"/>
        <rFont val="Arial"/>
        <family val="0"/>
      </rPr>
      <t xml:space="preserve"> </t>
    </r>
    <r>
      <rPr>
        <vertAlign val="subscript"/>
        <sz val="10"/>
        <rFont val="Arial"/>
        <family val="2"/>
      </rPr>
      <t>2-yr</t>
    </r>
    <r>
      <rPr>
        <sz val="10"/>
        <rFont val="Arial"/>
        <family val="0"/>
      </rPr>
      <t xml:space="preserve"> =</t>
    </r>
  </si>
  <si>
    <t>Pre 2-yr:</t>
  </si>
  <si>
    <t>Pre 50-yr:</t>
  </si>
  <si>
    <r>
      <t>Q</t>
    </r>
    <r>
      <rPr>
        <b/>
        <vertAlign val="subscript"/>
        <sz val="12"/>
        <rFont val="Arial"/>
        <family val="2"/>
      </rPr>
      <t xml:space="preserve">50-year </t>
    </r>
    <r>
      <rPr>
        <b/>
        <sz val="12"/>
        <rFont val="Arial"/>
        <family val="2"/>
      </rPr>
      <t xml:space="preserve">= </t>
    </r>
  </si>
  <si>
    <r>
      <t>Q</t>
    </r>
    <r>
      <rPr>
        <b/>
        <vertAlign val="subscript"/>
        <sz val="12"/>
        <rFont val="Arial"/>
        <family val="2"/>
      </rPr>
      <t xml:space="preserve">2-year </t>
    </r>
    <r>
      <rPr>
        <b/>
        <sz val="12"/>
        <rFont val="Arial"/>
        <family val="2"/>
      </rPr>
      <t xml:space="preserve">= </t>
    </r>
  </si>
  <si>
    <t>To use a more sophisticated modeling software (TR-20, HydraFlow, Pondpack, etc) to further calculate peak flows on site, use adjusted Post-Development CN's listed above for each storm.  Modeled storage devices should not include volume being drawn down or infiltrated as accounted for on Storage Worksheet.</t>
  </si>
  <si>
    <t>**Note:  To decrease Post-development peak flows - increase storage volume being drawdown or infiltrated or lengthen post-development time of concentration.  See LID HELP for more information.</t>
  </si>
  <si>
    <t>Design Storm</t>
  </si>
  <si>
    <r>
      <t>Estimated Additional Volume
to Match Peak Flows (ft</t>
    </r>
    <r>
      <rPr>
        <b/>
        <vertAlign val="superscript"/>
        <sz val="10"/>
        <rFont val="Arial"/>
        <family val="2"/>
      </rPr>
      <t>3</t>
    </r>
    <r>
      <rPr>
        <b/>
        <sz val="10"/>
        <rFont val="Arial"/>
        <family val="2"/>
      </rPr>
      <t>)</t>
    </r>
  </si>
  <si>
    <t>Additional Information:</t>
  </si>
  <si>
    <t>*Volumes listed in this table are estimates and may vary due to changes in time of concentration from pre- to post-development</t>
  </si>
  <si>
    <t>Spre=</t>
  </si>
  <si>
    <t>Soil Data for Site:</t>
  </si>
  <si>
    <t>Pre-Development Landuse Data:</t>
  </si>
  <si>
    <t>Pasture/Grass</t>
  </si>
  <si>
    <t>Existing Site Data:</t>
  </si>
  <si>
    <t>Proposed Site Data:</t>
  </si>
  <si>
    <r>
      <t xml:space="preserve">Managed Open Space:
</t>
    </r>
    <r>
      <rPr>
        <sz val="8"/>
        <rFont val="Arial"/>
        <family val="2"/>
      </rPr>
      <t>(Grassed Common Open Space - NOT ON LOTS)</t>
    </r>
  </si>
  <si>
    <r>
      <t>Other Impervious Surface:
(</t>
    </r>
    <r>
      <rPr>
        <sz val="8"/>
        <rFont val="Arial"/>
        <family val="2"/>
      </rPr>
      <t>Impervious not on lots or in R/W)</t>
    </r>
  </si>
  <si>
    <t>Percent of Total Impervious
that is Disconnected:</t>
  </si>
  <si>
    <t>Total Lot Area:</t>
  </si>
  <si>
    <t>Residential Site Data</t>
  </si>
  <si>
    <t>Impervious Surface:</t>
  </si>
  <si>
    <t>Managed Open Space:</t>
  </si>
  <si>
    <t>Overall Site Impervious:</t>
  </si>
  <si>
    <t>Cnpre=</t>
  </si>
  <si>
    <t>Q pre FF=</t>
  </si>
  <si>
    <t>Cnpost=</t>
  </si>
  <si>
    <t>Fill in either residential or commercial site data below.</t>
  </si>
  <si>
    <t>CNc=</t>
  </si>
  <si>
    <t>Q pre 1yr=</t>
  </si>
  <si>
    <t>Q post 1yr=</t>
  </si>
  <si>
    <t>deltaQ 1yr=</t>
  </si>
  <si>
    <t>Runoff Volume Estimates:</t>
  </si>
  <si>
    <r>
      <t>First Flush Storage Volume Required:</t>
    </r>
  </si>
  <si>
    <t>SpostPerv=</t>
  </si>
  <si>
    <t>Q post FF Perv=</t>
  </si>
  <si>
    <t>Q post FF Imp=</t>
  </si>
  <si>
    <t>S imp=</t>
  </si>
  <si>
    <t>Preserved Woods per Lot:</t>
  </si>
  <si>
    <t>Note: This is an estimate of the runoff volumes required to meet the State Phase II rules.  The actual required volumes can be calculated by completing the required information in the rest of this program.</t>
  </si>
  <si>
    <t>Increase</t>
  </si>
  <si>
    <t>CNp Calc</t>
  </si>
  <si>
    <t>Lot CNp</t>
  </si>
  <si>
    <t>Commercial / Multifamily Site Data</t>
  </si>
  <si>
    <t>Note:  
If conventional devices such as wet/dry detention ponds or constructed wetlands are used, additional routing calculations from a more spophisticated modeling software (TR-20, HydraFlow, Pondpack, etc) should be provided.</t>
  </si>
  <si>
    <t>Impervious Area (ac.)</t>
  </si>
  <si>
    <t>% Dis</t>
  </si>
  <si>
    <t>CNc FF Remaining=</t>
  </si>
  <si>
    <t xml:space="preserve">% Dis Remaining </t>
  </si>
  <si>
    <t>% of total Imp</t>
  </si>
  <si>
    <t>Total imp</t>
  </si>
  <si>
    <t>ac</t>
  </si>
  <si>
    <t>Reqd Vol FF</t>
  </si>
  <si>
    <t>Vegetated Swale (Storage)</t>
  </si>
  <si>
    <t>Vegetated Swale (No Storage)</t>
  </si>
  <si>
    <t>Restored Riparian Buffer</t>
  </si>
  <si>
    <t>Filter Strip</t>
  </si>
  <si>
    <t>Type</t>
  </si>
  <si>
    <t>Alternative Device (w/ Storage)</t>
  </si>
  <si>
    <t>Total Impervious Treated:</t>
  </si>
  <si>
    <t>#</t>
  </si>
  <si>
    <t>D.S BMP #</t>
  </si>
  <si>
    <t>TSS</t>
  </si>
  <si>
    <t>TN</t>
  </si>
  <si>
    <t>TP</t>
  </si>
  <si>
    <t>Fecal</t>
  </si>
  <si>
    <r>
      <t>D</t>
    </r>
    <r>
      <rPr>
        <b/>
        <sz val="10"/>
        <rFont val="Arial"/>
        <family val="2"/>
      </rPr>
      <t xml:space="preserve"> 1-year Storm Storage Volume Required:</t>
    </r>
  </si>
  <si>
    <r>
      <t xml:space="preserve">Volume Required for </t>
    </r>
    <r>
      <rPr>
        <sz val="11"/>
        <rFont val="Symbol"/>
        <family val="1"/>
      </rPr>
      <t>D</t>
    </r>
    <r>
      <rPr>
        <sz val="11"/>
        <rFont val="Arial"/>
        <family val="0"/>
      </rPr>
      <t xml:space="preserve"> 1-yr Storm:</t>
    </r>
  </si>
  <si>
    <t>sf/lot</t>
  </si>
  <si>
    <t>Preserved Wooded Area per Lot:</t>
  </si>
  <si>
    <r>
      <t xml:space="preserve">Minimum Volume Required to Meet 
</t>
    </r>
    <r>
      <rPr>
        <b/>
        <sz val="10"/>
        <rFont val="Symbol"/>
        <family val="1"/>
      </rPr>
      <t>D</t>
    </r>
    <r>
      <rPr>
        <b/>
        <sz val="10"/>
        <rFont val="Arial"/>
        <family val="2"/>
      </rPr>
      <t xml:space="preserve"> 1-yr Runoff Volume Requirements:</t>
    </r>
  </si>
  <si>
    <t>% of Total Imp. Area</t>
  </si>
  <si>
    <t>Alternative Device (No Storage)</t>
  </si>
  <si>
    <t>Y</t>
  </si>
  <si>
    <t>N</t>
  </si>
  <si>
    <t>Storage?</t>
  </si>
  <si>
    <t>Pervious Pavement Data: (If Applicable)</t>
  </si>
  <si>
    <t>Permeable concrete without gravel base</t>
  </si>
  <si>
    <t>Type of Pavement:</t>
  </si>
  <si>
    <t>Permeable concrete with +6" of gravel base</t>
  </si>
  <si>
    <t>Flexible pavement with +4" of gravel base</t>
  </si>
  <si>
    <t>Soil Permeability</t>
  </si>
  <si>
    <t>in/hr</t>
  </si>
  <si>
    <t>Flexible pavement with +7" of gravel base</t>
  </si>
  <si>
    <t>Pervious Pavement</t>
  </si>
  <si>
    <t>PP CN</t>
  </si>
  <si>
    <t>Open</t>
  </si>
  <si>
    <t>C Imp</t>
  </si>
  <si>
    <t>D Imp</t>
  </si>
  <si>
    <t>FF Q* Calcs</t>
  </si>
  <si>
    <t>A remaining</t>
  </si>
  <si>
    <t>D imp</t>
  </si>
  <si>
    <t>P imp</t>
  </si>
  <si>
    <t>Cnp</t>
  </si>
  <si>
    <t>CNc</t>
  </si>
  <si>
    <t>Spost 1-yr=</t>
  </si>
  <si>
    <t>S post FF perv</t>
  </si>
  <si>
    <t>Estimated Peak Flow Calculations</t>
  </si>
  <si>
    <t>Stormwater Regulations</t>
  </si>
  <si>
    <t>Required Storage Volume:</t>
  </si>
  <si>
    <t>Override Requirements ?</t>
  </si>
  <si>
    <t>No</t>
  </si>
  <si>
    <t>Delta 1-Yr Storm</t>
  </si>
  <si>
    <t>Low Density</t>
  </si>
  <si>
    <t>Reqd Vol</t>
  </si>
  <si>
    <t>Reqd Vol 1-Yr</t>
  </si>
  <si>
    <t>None</t>
  </si>
  <si>
    <t>Required Storage (cf)</t>
  </si>
  <si>
    <t>% of Storage Provided</t>
  </si>
  <si>
    <t>Sub-Total:</t>
  </si>
  <si>
    <t>Coastal Wetlands:</t>
  </si>
  <si>
    <t>Yes</t>
  </si>
  <si>
    <t>Within 575' of ORW ?</t>
  </si>
  <si>
    <t>Land Excluded from CN Calculations:</t>
  </si>
  <si>
    <t xml:space="preserve">Built Upon Area: </t>
  </si>
  <si>
    <t>Weighted CNc =</t>
  </si>
  <si>
    <t>CNc 1yr (w/ Disconnected)=</t>
  </si>
  <si>
    <r>
      <t xml:space="preserve">Preserved Wooded Area:
</t>
    </r>
    <r>
      <rPr>
        <sz val="8"/>
        <rFont val="Arial"/>
        <family val="2"/>
      </rPr>
      <t>(Common Open Space to remain woods, wetlands,
or be reforested - NOT ON LOTS)</t>
    </r>
  </si>
  <si>
    <t>Woods / Wetlands</t>
  </si>
  <si>
    <r>
      <t xml:space="preserve">Preserved Wooded Area:
</t>
    </r>
    <r>
      <rPr>
        <sz val="8"/>
        <rFont val="Arial"/>
        <family val="2"/>
      </rPr>
      <t>(Area to remain woods, wetlands, or be reforested)</t>
    </r>
  </si>
  <si>
    <t>NAME</t>
  </si>
  <si>
    <t>HighTemp</t>
  </si>
  <si>
    <t>Net Pollutant Removal (%)</t>
  </si>
  <si>
    <t>Enter only runoff volume below that will be infiltrated or drawn down over 2 to 5 days.  Additional volume provided in devices should not be entered in this worksheet. Drawdown time requirement applies to all storm events.</t>
  </si>
  <si>
    <t>Credit</t>
  </si>
  <si>
    <t>Eff WQ storage</t>
  </si>
  <si>
    <t>Area</t>
  </si>
  <si>
    <t>Volume</t>
  </si>
  <si>
    <t>Lakes &amp; Non-Coastal Wetlands :</t>
  </si>
  <si>
    <t>Coastal Wetlands :</t>
  </si>
  <si>
    <t>Temp Concern</t>
  </si>
  <si>
    <t>Area (ac.)</t>
  </si>
  <si>
    <t>% Imp</t>
  </si>
  <si>
    <t>Target %</t>
  </si>
  <si>
    <t>Allowable Impervious Area per Lot:</t>
  </si>
  <si>
    <t>Eff. WQ Treatment Volume Provided:</t>
  </si>
  <si>
    <t>Brunswick County</t>
  </si>
  <si>
    <t>New Hanover County</t>
  </si>
  <si>
    <t>City of Wilmington</t>
  </si>
  <si>
    <t>*Impervious may not be claimed without permission from Stormwater staff.</t>
  </si>
  <si>
    <t>Device</t>
  </si>
  <si>
    <t>EFFECTIVE STORAGE CALCS</t>
  </si>
  <si>
    <t>Storage</t>
  </si>
  <si>
    <t>% tot. Imp</t>
  </si>
  <si>
    <t>2-yr</t>
  </si>
  <si>
    <t>10-yr</t>
  </si>
  <si>
    <t>25-yr</t>
  </si>
  <si>
    <t>50-yr</t>
  </si>
  <si>
    <t>100-yr</t>
  </si>
  <si>
    <t>1-yr</t>
  </si>
  <si>
    <t>Effective Volume Provided</t>
  </si>
  <si>
    <t>Total (cf)</t>
  </si>
  <si>
    <t>Total (in)</t>
  </si>
  <si>
    <t>Q*1-yr=</t>
  </si>
  <si>
    <t>Cistern</t>
  </si>
  <si>
    <t>Note:  
Effective Volume based on runoff volume for water quality event.</t>
  </si>
  <si>
    <t>&lt; Low</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</si>
</sst>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h:mm:ss\ AM/PM"/>
    <numFmt numFmtId="174" formatCode="m/d/yyyy;@"/>
    <numFmt numFmtId="175" formatCode="mm/dd/yy;@"/>
    <numFmt numFmtId="176" formatCode="00000"/>
    <numFmt numFmtId="177" formatCode="0.0%"/>
  </numFmts>
  <fonts count="83">
    <font>
      <sz val="10"/>
      <name val="Arial"/>
      <family val="0"/>
    </font>
    <font>
      <b/>
      <sz val="10"/>
      <name val="Arial"/>
      <family val="2"/>
    </font>
    <font>
      <b/>
      <sz val="12"/>
      <name val="Arial"/>
      <family val="2"/>
    </font>
    <font>
      <b/>
      <sz val="14"/>
      <name val="Arial"/>
      <family val="2"/>
    </font>
    <font>
      <b/>
      <sz val="16"/>
      <name val="Arial"/>
      <family val="2"/>
    </font>
    <font>
      <u val="single"/>
      <sz val="10"/>
      <color indexed="12"/>
      <name val="Arial"/>
      <family val="0"/>
    </font>
    <font>
      <u val="single"/>
      <sz val="10"/>
      <color indexed="36"/>
      <name val="Arial"/>
      <family val="0"/>
    </font>
    <font>
      <sz val="14"/>
      <name val="Arial"/>
      <family val="2"/>
    </font>
    <font>
      <sz val="8"/>
      <name val="Arial"/>
      <family val="2"/>
    </font>
    <font>
      <u val="single"/>
      <sz val="10"/>
      <name val="Arial"/>
      <family val="2"/>
    </font>
    <font>
      <i/>
      <sz val="10"/>
      <name val="Arial"/>
      <family val="2"/>
    </font>
    <font>
      <vertAlign val="subscript"/>
      <sz val="10"/>
      <name val="Arial"/>
      <family val="2"/>
    </font>
    <font>
      <i/>
      <sz val="8"/>
      <name val="Arial"/>
      <family val="2"/>
    </font>
    <font>
      <sz val="7"/>
      <name val="Arial"/>
      <family val="0"/>
    </font>
    <font>
      <vertAlign val="superscript"/>
      <sz val="7"/>
      <name val="Arial"/>
      <family val="2"/>
    </font>
    <font>
      <b/>
      <vertAlign val="superscript"/>
      <sz val="10"/>
      <name val="Arial"/>
      <family val="2"/>
    </font>
    <font>
      <b/>
      <vertAlign val="subscript"/>
      <sz val="10"/>
      <name val="Arial"/>
      <family val="2"/>
    </font>
    <font>
      <b/>
      <vertAlign val="subscript"/>
      <sz val="12"/>
      <name val="Arial"/>
      <family val="2"/>
    </font>
    <font>
      <b/>
      <sz val="10"/>
      <color indexed="10"/>
      <name val="Arial"/>
      <family val="2"/>
    </font>
    <font>
      <b/>
      <u val="single"/>
      <sz val="10"/>
      <color indexed="10"/>
      <name val="Arial"/>
      <family val="2"/>
    </font>
    <font>
      <b/>
      <u val="single"/>
      <sz val="12"/>
      <name val="Arial"/>
      <family val="2"/>
    </font>
    <font>
      <b/>
      <i/>
      <sz val="10"/>
      <name val="Arial"/>
      <family val="2"/>
    </font>
    <font>
      <vertAlign val="superscript"/>
      <sz val="10"/>
      <name val="Arial"/>
      <family val="2"/>
    </font>
    <font>
      <b/>
      <sz val="11"/>
      <name val="Arial"/>
      <family val="2"/>
    </font>
    <font>
      <sz val="11"/>
      <name val="Arial"/>
      <family val="2"/>
    </font>
    <font>
      <b/>
      <vertAlign val="subscript"/>
      <sz val="11"/>
      <name val="Arial"/>
      <family val="2"/>
    </font>
    <font>
      <b/>
      <u val="single"/>
      <sz val="11"/>
      <name val="Arial"/>
      <family val="2"/>
    </font>
    <font>
      <b/>
      <sz val="18"/>
      <name val="Arial"/>
      <family val="2"/>
    </font>
    <font>
      <vertAlign val="superscript"/>
      <sz val="11"/>
      <name val="Arial"/>
      <family val="2"/>
    </font>
    <font>
      <b/>
      <u val="single"/>
      <sz val="10"/>
      <name val="Arial"/>
      <family val="2"/>
    </font>
    <font>
      <i/>
      <sz val="9"/>
      <name val="Arial"/>
      <family val="2"/>
    </font>
    <font>
      <i/>
      <sz val="10"/>
      <color indexed="10"/>
      <name val="Arial"/>
      <family val="2"/>
    </font>
    <font>
      <sz val="10"/>
      <color indexed="10"/>
      <name val="Arial"/>
      <family val="2"/>
    </font>
    <font>
      <i/>
      <vertAlign val="subscript"/>
      <sz val="9"/>
      <name val="Arial"/>
      <family val="2"/>
    </font>
    <font>
      <u val="single"/>
      <sz val="11"/>
      <name val="Arial"/>
      <family val="2"/>
    </font>
    <font>
      <b/>
      <sz val="9"/>
      <color indexed="10"/>
      <name val="Arial"/>
      <family val="2"/>
    </font>
    <font>
      <sz val="18"/>
      <name val="Arial"/>
      <family val="2"/>
    </font>
    <font>
      <sz val="16"/>
      <name val="Arial"/>
      <family val="2"/>
    </font>
    <font>
      <sz val="12"/>
      <name val="Arial"/>
      <family val="2"/>
    </font>
    <font>
      <i/>
      <sz val="11"/>
      <name val="Arial"/>
      <family val="2"/>
    </font>
    <font>
      <b/>
      <i/>
      <sz val="12"/>
      <name val="Arial"/>
      <family val="2"/>
    </font>
    <font>
      <b/>
      <sz val="10"/>
      <name val="Symbol"/>
      <family val="1"/>
    </font>
    <font>
      <sz val="11"/>
      <name val="Symbol"/>
      <family val="1"/>
    </font>
    <font>
      <b/>
      <i/>
      <sz val="10"/>
      <color indexed="10"/>
      <name val="Arial"/>
      <family val="2"/>
    </font>
    <font>
      <b/>
      <sz val="8"/>
      <color indexed="10"/>
      <name val="Arial"/>
      <family val="2"/>
    </font>
    <font>
      <i/>
      <sz val="9"/>
      <color indexed="12"/>
      <name val="Arial"/>
      <family val="2"/>
    </font>
    <font>
      <sz val="10"/>
      <color indexed="8"/>
      <name val="Arial"/>
      <family val="0"/>
    </font>
    <font>
      <sz val="9"/>
      <color indexed="10"/>
      <name val="Arial"/>
      <family val="0"/>
    </font>
    <font>
      <i/>
      <sz val="10"/>
      <color indexed="57"/>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36"/>
      <name val="Arial"/>
      <family val="2"/>
    </font>
    <font>
      <sz val="11"/>
      <color indexed="60"/>
      <name val="Arial"/>
      <family val="2"/>
    </font>
    <font>
      <sz val="11"/>
      <color indexed="62"/>
      <name val="Arial"/>
      <family val="2"/>
    </font>
    <font>
      <b/>
      <sz val="11"/>
      <color indexed="63"/>
      <name val="Arial"/>
      <family val="2"/>
    </font>
    <font>
      <b/>
      <sz val="11"/>
      <color indexed="35"/>
      <name val="Arial"/>
      <family val="2"/>
    </font>
    <font>
      <sz val="11"/>
      <color indexed="35"/>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indexed="41"/>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double"/>
    </border>
    <border>
      <left>
        <color indexed="63"/>
      </left>
      <right style="medium"/>
      <top>
        <color indexed="63"/>
      </top>
      <bottom style="thin"/>
    </border>
    <border>
      <left>
        <color indexed="63"/>
      </left>
      <right style="medium"/>
      <top style="thin"/>
      <bottom style="thin"/>
    </border>
    <border>
      <left>
        <color indexed="63"/>
      </left>
      <right style="medium"/>
      <top style="medium"/>
      <bottom style="double"/>
    </border>
    <border>
      <left style="medium"/>
      <right>
        <color indexed="63"/>
      </right>
      <top style="medium"/>
      <bottom style="double"/>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double"/>
      <bottom style="thin"/>
    </border>
    <border>
      <left style="thin"/>
      <right>
        <color indexed="63"/>
      </right>
      <top style="double"/>
      <bottom>
        <color indexed="63"/>
      </bottom>
    </border>
    <border>
      <left style="medium"/>
      <right style="medium"/>
      <top style="medium"/>
      <bottom style="medium"/>
    </border>
    <border>
      <left style="thin"/>
      <right style="thin"/>
      <top style="double"/>
      <bottom style="thin"/>
    </border>
    <border>
      <left style="thin"/>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double"/>
    </border>
    <border>
      <left>
        <color indexed="63"/>
      </left>
      <right>
        <color indexed="63"/>
      </right>
      <top style="thin"/>
      <bottom style="double"/>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style="thin"/>
    </border>
    <border>
      <left style="medium"/>
      <right style="thin"/>
      <top style="thin"/>
      <bottom style="medium"/>
    </border>
    <border>
      <left>
        <color indexed="63"/>
      </left>
      <right style="thin"/>
      <top style="thin"/>
      <bottom style="medium"/>
    </border>
    <border>
      <left style="medium"/>
      <right>
        <color indexed="63"/>
      </right>
      <top style="double"/>
      <bottom style="double"/>
    </border>
    <border>
      <left style="thin"/>
      <right style="medium"/>
      <top style="thin"/>
      <bottom style="thin"/>
    </border>
    <border>
      <left>
        <color indexed="63"/>
      </left>
      <right style="thin"/>
      <top>
        <color indexed="63"/>
      </top>
      <bottom style="double"/>
    </border>
    <border>
      <left style="thin"/>
      <right>
        <color indexed="63"/>
      </right>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double"/>
      <bottom style="double"/>
    </border>
    <border>
      <left>
        <color indexed="63"/>
      </left>
      <right style="medium"/>
      <top style="double"/>
      <bottom style="double"/>
    </border>
    <border>
      <left style="thin"/>
      <right>
        <color indexed="63"/>
      </right>
      <top style="double"/>
      <bottom style="double"/>
    </border>
    <border>
      <left>
        <color indexed="63"/>
      </left>
      <right style="thin"/>
      <top style="double"/>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style="double"/>
    </border>
    <border>
      <left style="medium"/>
      <right style="thin"/>
      <top style="medium"/>
      <bottom style="thin"/>
    </border>
    <border>
      <left style="thin"/>
      <right style="thin"/>
      <top style="medium"/>
      <bottom style="thin"/>
    </border>
    <border>
      <left style="medium"/>
      <right style="thin"/>
      <top style="double"/>
      <bottom style="double"/>
    </border>
    <border>
      <left style="thin"/>
      <right style="thin"/>
      <top style="double"/>
      <bottom style="double"/>
    </border>
    <border>
      <left style="thin"/>
      <right style="medium"/>
      <top style="double"/>
      <bottom style="double"/>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2"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96">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0" fillId="0" borderId="0" xfId="0" applyFill="1" applyAlignment="1">
      <alignment/>
    </xf>
    <xf numFmtId="2" fontId="0" fillId="0" borderId="0" xfId="57" applyFill="1">
      <alignment/>
      <protection/>
    </xf>
    <xf numFmtId="2" fontId="0" fillId="0" borderId="0" xfId="57" applyFill="1" applyAlignment="1">
      <alignment horizontal="left"/>
      <protection/>
    </xf>
    <xf numFmtId="0" fontId="0" fillId="0" borderId="0" xfId="0" applyFill="1" applyAlignment="1">
      <alignment horizontal="right"/>
    </xf>
    <xf numFmtId="9" fontId="0" fillId="0" borderId="0" xfId="0" applyNumberFormat="1" applyFill="1" applyAlignment="1">
      <alignment horizontal="right"/>
    </xf>
    <xf numFmtId="1" fontId="10" fillId="0" borderId="0" xfId="57" applyNumberFormat="1" applyFont="1" applyFill="1" applyAlignment="1">
      <alignment horizontal="center"/>
      <protection/>
    </xf>
    <xf numFmtId="1" fontId="1" fillId="0" borderId="0" xfId="57" applyNumberFormat="1" applyFont="1" applyFill="1" applyAlignment="1">
      <alignment horizontal="center"/>
      <protection/>
    </xf>
    <xf numFmtId="2" fontId="0" fillId="0" borderId="0" xfId="57" applyFill="1" applyAlignment="1">
      <alignment horizontal="right"/>
      <protection/>
    </xf>
    <xf numFmtId="0" fontId="0" fillId="0" borderId="0" xfId="0" applyFill="1" applyAlignment="1">
      <alignment horizontal="left"/>
    </xf>
    <xf numFmtId="2" fontId="12" fillId="0" borderId="0" xfId="57" applyFont="1" applyFill="1">
      <alignment/>
      <protection/>
    </xf>
    <xf numFmtId="2" fontId="0" fillId="0" borderId="0" xfId="0" applyNumberFormat="1" applyFill="1" applyAlignment="1">
      <alignment/>
    </xf>
    <xf numFmtId="0" fontId="0" fillId="0" borderId="0" xfId="0" applyFill="1" applyBorder="1" applyAlignment="1">
      <alignment/>
    </xf>
    <xf numFmtId="0" fontId="0" fillId="0" borderId="0" xfId="0" applyFont="1" applyFill="1" applyBorder="1" applyAlignment="1">
      <alignment wrapText="1"/>
    </xf>
    <xf numFmtId="0" fontId="0" fillId="0" borderId="0" xfId="0" applyNumberFormat="1" applyFont="1" applyFill="1" applyBorder="1" applyAlignment="1">
      <alignment horizontal="center" wrapText="1"/>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xf>
    <xf numFmtId="10" fontId="0" fillId="0" borderId="0" xfId="0" applyNumberFormat="1" applyFill="1" applyBorder="1" applyAlignment="1">
      <alignment horizontal="center"/>
    </xf>
    <xf numFmtId="0" fontId="1" fillId="0" borderId="0" xfId="0" applyFont="1" applyFill="1" applyBorder="1" applyAlignment="1">
      <alignment horizontal="center"/>
    </xf>
    <xf numFmtId="0" fontId="7" fillId="0" borderId="0" xfId="0" applyFont="1" applyBorder="1" applyAlignment="1">
      <alignment/>
    </xf>
    <xf numFmtId="0" fontId="0" fillId="0" borderId="10" xfId="0" applyBorder="1" applyAlignment="1">
      <alignment horizontal="right"/>
    </xf>
    <xf numFmtId="0" fontId="0" fillId="0" borderId="14" xfId="0" applyFill="1" applyBorder="1" applyAlignment="1">
      <alignment horizontal="center"/>
    </xf>
    <xf numFmtId="0" fontId="0" fillId="0" borderId="14" xfId="0" applyFill="1" applyBorder="1" applyAlignment="1">
      <alignment/>
    </xf>
    <xf numFmtId="10" fontId="0" fillId="0" borderId="14" xfId="0" applyNumberFormat="1" applyFill="1" applyBorder="1" applyAlignment="1">
      <alignment horizontal="center"/>
    </xf>
    <xf numFmtId="0" fontId="0" fillId="0" borderId="15" xfId="0" applyFill="1" applyBorder="1" applyAlignment="1">
      <alignment horizontal="center"/>
    </xf>
    <xf numFmtId="10" fontId="0" fillId="0" borderId="15" xfId="0" applyNumberFormat="1" applyFill="1" applyBorder="1" applyAlignment="1">
      <alignment horizontal="center"/>
    </xf>
    <xf numFmtId="0" fontId="1" fillId="0" borderId="16" xfId="0" applyFont="1" applyFill="1" applyBorder="1" applyAlignment="1">
      <alignment horizontal="center"/>
    </xf>
    <xf numFmtId="0" fontId="2" fillId="0" borderId="10" xfId="0" applyFont="1" applyBorder="1" applyAlignment="1">
      <alignment/>
    </xf>
    <xf numFmtId="0" fontId="0" fillId="0" borderId="10" xfId="0" applyFill="1" applyBorder="1" applyAlignment="1">
      <alignment horizontal="right"/>
    </xf>
    <xf numFmtId="2" fontId="0" fillId="0" borderId="0" xfId="0" applyNumberFormat="1" applyFill="1" applyBorder="1" applyAlignment="1">
      <alignment horizontal="center"/>
    </xf>
    <xf numFmtId="2" fontId="0" fillId="0" borderId="0" xfId="0" applyNumberFormat="1" applyFill="1" applyAlignment="1">
      <alignment horizontal="right"/>
    </xf>
    <xf numFmtId="2" fontId="0" fillId="0" borderId="0" xfId="0" applyNumberFormat="1" applyFont="1" applyFill="1" applyAlignment="1">
      <alignment horizontal="right"/>
    </xf>
    <xf numFmtId="2"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2" fillId="0" borderId="17" xfId="0" applyFont="1" applyBorder="1" applyAlignment="1">
      <alignment/>
    </xf>
    <xf numFmtId="0" fontId="0" fillId="0" borderId="17" xfId="0" applyFont="1" applyFill="1" applyBorder="1" applyAlignment="1">
      <alignment/>
    </xf>
    <xf numFmtId="2" fontId="2" fillId="0" borderId="17" xfId="0" applyNumberFormat="1" applyFont="1" applyFill="1" applyBorder="1" applyAlignment="1">
      <alignment/>
    </xf>
    <xf numFmtId="0" fontId="2" fillId="0" borderId="17" xfId="0" applyFont="1" applyFill="1" applyBorder="1" applyAlignment="1">
      <alignment/>
    </xf>
    <xf numFmtId="0" fontId="0" fillId="0" borderId="17" xfId="0" applyFont="1" applyFill="1" applyBorder="1" applyAlignment="1">
      <alignment/>
    </xf>
    <xf numFmtId="0" fontId="0" fillId="0" borderId="18" xfId="0" applyFill="1" applyBorder="1" applyAlignment="1">
      <alignment/>
    </xf>
    <xf numFmtId="0" fontId="0" fillId="0" borderId="10" xfId="0" applyFont="1" applyFill="1" applyBorder="1" applyAlignment="1">
      <alignment horizontal="right"/>
    </xf>
    <xf numFmtId="2" fontId="0" fillId="0" borderId="14" xfId="0" applyNumberFormat="1" applyFill="1" applyBorder="1" applyAlignment="1">
      <alignment horizontal="center"/>
    </xf>
    <xf numFmtId="2" fontId="0" fillId="0" borderId="14" xfId="0" applyNumberFormat="1" applyFont="1" applyFill="1" applyBorder="1" applyAlignment="1">
      <alignment horizontal="center"/>
    </xf>
    <xf numFmtId="0" fontId="0" fillId="0" borderId="0" xfId="0" applyFont="1" applyFill="1" applyBorder="1" applyAlignment="1">
      <alignment horizontal="right"/>
    </xf>
    <xf numFmtId="2" fontId="0" fillId="0" borderId="15" xfId="0" applyNumberFormat="1" applyFill="1" applyBorder="1" applyAlignment="1">
      <alignment horizontal="center"/>
    </xf>
    <xf numFmtId="10" fontId="1" fillId="0" borderId="16" xfId="0" applyNumberFormat="1" applyFont="1" applyFill="1" applyBorder="1" applyAlignment="1">
      <alignment horizontal="center"/>
    </xf>
    <xf numFmtId="0" fontId="1" fillId="0" borderId="16" xfId="0" applyFont="1" applyFill="1" applyBorder="1" applyAlignment="1">
      <alignment horizontal="center" wrapText="1"/>
    </xf>
    <xf numFmtId="2" fontId="0" fillId="0" borderId="16" xfId="0" applyNumberFormat="1" applyFill="1" applyBorder="1" applyAlignment="1">
      <alignment horizontal="center"/>
    </xf>
    <xf numFmtId="0" fontId="2" fillId="0" borderId="19" xfId="0" applyFont="1" applyFill="1" applyBorder="1" applyAlignment="1">
      <alignment/>
    </xf>
    <xf numFmtId="0" fontId="0" fillId="0" borderId="20" xfId="0" applyBorder="1" applyAlignment="1">
      <alignment/>
    </xf>
    <xf numFmtId="0" fontId="2" fillId="0" borderId="21" xfId="0" applyFont="1" applyFill="1" applyBorder="1" applyAlignment="1">
      <alignment horizontal="center"/>
    </xf>
    <xf numFmtId="165" fontId="0" fillId="0" borderId="0" xfId="0" applyNumberFormat="1" applyFont="1" applyFill="1" applyBorder="1" applyAlignment="1">
      <alignment horizontal="center"/>
    </xf>
    <xf numFmtId="0" fontId="2" fillId="0" borderId="19" xfId="0" applyFont="1" applyBorder="1" applyAlignment="1">
      <alignment/>
    </xf>
    <xf numFmtId="0" fontId="0" fillId="0" borderId="20" xfId="0" applyFont="1" applyFill="1" applyBorder="1" applyAlignment="1">
      <alignment/>
    </xf>
    <xf numFmtId="0" fontId="0" fillId="0" borderId="11" xfId="0"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0" fontId="18" fillId="0" borderId="0" xfId="0" applyFont="1" applyFill="1" applyBorder="1" applyAlignment="1">
      <alignment/>
    </xf>
    <xf numFmtId="14" fontId="0" fillId="0" borderId="0" xfId="0" applyNumberFormat="1" applyFill="1" applyBorder="1" applyAlignment="1">
      <alignment/>
    </xf>
    <xf numFmtId="0" fontId="2" fillId="0" borderId="0" xfId="0" applyFont="1" applyFill="1" applyBorder="1" applyAlignment="1">
      <alignment horizontal="center" vertical="center"/>
    </xf>
    <xf numFmtId="0" fontId="0" fillId="0" borderId="15" xfId="0" applyNumberFormat="1" applyFill="1" applyBorder="1" applyAlignment="1">
      <alignment horizontal="center"/>
    </xf>
    <xf numFmtId="2" fontId="1" fillId="0" borderId="0" xfId="57" applyFont="1" applyFill="1" applyAlignment="1">
      <alignment horizontal="right"/>
      <protection/>
    </xf>
    <xf numFmtId="2" fontId="1" fillId="0" borderId="0" xfId="0" applyNumberFormat="1" applyFont="1" applyFill="1" applyBorder="1" applyAlignment="1">
      <alignment horizontal="center"/>
    </xf>
    <xf numFmtId="0" fontId="1" fillId="0" borderId="0" xfId="0" applyFont="1" applyFill="1" applyBorder="1" applyAlignment="1">
      <alignment/>
    </xf>
    <xf numFmtId="0" fontId="0" fillId="33" borderId="15"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4" xfId="0" applyFill="1" applyBorder="1" applyAlignment="1" applyProtection="1">
      <alignment horizontal="center" vertical="top"/>
      <protection locked="0"/>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wrapText="1"/>
      <protection locked="0"/>
    </xf>
    <xf numFmtId="0" fontId="0" fillId="33" borderId="15" xfId="0" applyFont="1" applyFill="1" applyBorder="1" applyAlignment="1" applyProtection="1">
      <alignment horizontal="center"/>
      <protection locked="0"/>
    </xf>
    <xf numFmtId="165" fontId="0" fillId="33" borderId="15" xfId="0" applyNumberFormat="1" applyFont="1" applyFill="1" applyBorder="1" applyAlignment="1" applyProtection="1">
      <alignment horizontal="center"/>
      <protection locked="0"/>
    </xf>
    <xf numFmtId="165" fontId="0" fillId="33" borderId="14" xfId="0" applyNumberFormat="1" applyFont="1" applyFill="1" applyBorder="1" applyAlignment="1" applyProtection="1">
      <alignment horizontal="center"/>
      <protection locked="0"/>
    </xf>
    <xf numFmtId="0" fontId="0" fillId="33" borderId="16" xfId="0"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Alignment="1" applyProtection="1">
      <alignment/>
      <protection locked="0"/>
    </xf>
    <xf numFmtId="0" fontId="0" fillId="0" borderId="10" xfId="0" applyBorder="1" applyAlignment="1" applyProtection="1">
      <alignment/>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0" xfId="0" applyFill="1" applyBorder="1" applyAlignment="1" applyProtection="1">
      <alignment/>
      <protection locked="0"/>
    </xf>
    <xf numFmtId="0" fontId="0" fillId="0" borderId="12"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2" fillId="0" borderId="0" xfId="0" applyFont="1" applyBorder="1" applyAlignment="1" applyProtection="1">
      <alignment/>
      <protection/>
    </xf>
    <xf numFmtId="0" fontId="23" fillId="0" borderId="0" xfId="0" applyFont="1" applyFill="1" applyBorder="1" applyAlignment="1" applyProtection="1">
      <alignment/>
      <protection/>
    </xf>
    <xf numFmtId="0" fontId="1" fillId="0" borderId="13" xfId="0" applyFont="1" applyBorder="1" applyAlignment="1" applyProtection="1">
      <alignment/>
      <protection/>
    </xf>
    <xf numFmtId="0" fontId="0" fillId="0" borderId="0" xfId="0" applyFill="1" applyBorder="1" applyAlignment="1" applyProtection="1">
      <alignment/>
      <protection locked="0"/>
    </xf>
    <xf numFmtId="14" fontId="0" fillId="0" borderId="0" xfId="0" applyNumberFormat="1" applyFill="1" applyBorder="1" applyAlignment="1" applyProtection="1">
      <alignment/>
      <protection locked="0"/>
    </xf>
    <xf numFmtId="0" fontId="0" fillId="0" borderId="0" xfId="0" applyFill="1" applyBorder="1" applyAlignment="1" applyProtection="1">
      <alignment horizontal="right"/>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wrapText="1"/>
      <protection locked="0"/>
    </xf>
    <xf numFmtId="0" fontId="0" fillId="0" borderId="0" xfId="0" applyNumberFormat="1" applyFont="1" applyFill="1" applyBorder="1" applyAlignment="1" applyProtection="1">
      <alignment horizontal="center" wrapText="1"/>
      <protection locked="0"/>
    </xf>
    <xf numFmtId="0" fontId="0" fillId="0" borderId="0" xfId="0"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0" xfId="0" applyFill="1" applyAlignment="1" applyProtection="1">
      <alignment horizontal="right"/>
      <protection locked="0"/>
    </xf>
    <xf numFmtId="0" fontId="0" fillId="0" borderId="0" xfId="0" applyFont="1" applyFill="1" applyBorder="1" applyAlignment="1" applyProtection="1">
      <alignment horizontal="center" wrapText="1"/>
      <protection locked="0"/>
    </xf>
    <xf numFmtId="2" fontId="0" fillId="0" borderId="0" xfId="0" applyNumberFormat="1" applyFont="1" applyFill="1" applyAlignment="1" applyProtection="1">
      <alignment horizontal="right"/>
      <protection locked="0"/>
    </xf>
    <xf numFmtId="1" fontId="1" fillId="0" borderId="0" xfId="57" applyNumberFormat="1" applyFont="1" applyFill="1" applyAlignment="1" applyProtection="1">
      <alignment horizontal="center"/>
      <protection locked="0"/>
    </xf>
    <xf numFmtId="2" fontId="0" fillId="0" borderId="0" xfId="0" applyNumberFormat="1" applyFill="1" applyAlignment="1" applyProtection="1">
      <alignment/>
      <protection locked="0"/>
    </xf>
    <xf numFmtId="2" fontId="0" fillId="0" borderId="0" xfId="57" applyFill="1" applyAlignment="1" applyProtection="1">
      <alignment horizontal="right"/>
      <protection locked="0"/>
    </xf>
    <xf numFmtId="2" fontId="0" fillId="0" borderId="0" xfId="57" applyFont="1" applyFill="1" applyBorder="1" applyAlignment="1" applyProtection="1">
      <alignment horizontal="right"/>
      <protection locked="0"/>
    </xf>
    <xf numFmtId="2" fontId="0" fillId="0" borderId="0" xfId="57" applyFont="1" applyFill="1" applyAlignment="1" applyProtection="1">
      <alignment horizontal="right"/>
      <protection locked="0"/>
    </xf>
    <xf numFmtId="2" fontId="0" fillId="0" borderId="0" xfId="57" applyFill="1" applyBorder="1" applyAlignment="1" applyProtection="1">
      <alignment horizontal="right"/>
      <protection locked="0"/>
    </xf>
    <xf numFmtId="0" fontId="0" fillId="0" borderId="0" xfId="0" applyFill="1" applyAlignment="1" applyProtection="1">
      <alignment horizontal="center"/>
      <protection locked="0"/>
    </xf>
    <xf numFmtId="2" fontId="0" fillId="0" borderId="0" xfId="57" applyFill="1" applyProtection="1">
      <alignment/>
      <protection locked="0"/>
    </xf>
    <xf numFmtId="2" fontId="1" fillId="0" borderId="0" xfId="57" applyFont="1" applyFill="1" applyAlignment="1" applyProtection="1">
      <alignment horizontal="right"/>
      <protection locked="0"/>
    </xf>
    <xf numFmtId="2" fontId="0" fillId="0" borderId="0" xfId="0" applyNumberFormat="1" applyFill="1" applyBorder="1" applyAlignment="1" applyProtection="1">
      <alignment/>
      <protection locked="0"/>
    </xf>
    <xf numFmtId="0" fontId="2" fillId="0" borderId="10" xfId="0" applyFont="1" applyBorder="1" applyAlignment="1" applyProtection="1">
      <alignment/>
      <protection/>
    </xf>
    <xf numFmtId="0" fontId="7" fillId="0" borderId="0" xfId="0" applyFont="1" applyBorder="1" applyAlignment="1" applyProtection="1">
      <alignment/>
      <protection/>
    </xf>
    <xf numFmtId="0" fontId="1" fillId="0" borderId="10" xfId="0" applyFont="1" applyBorder="1" applyAlignment="1" applyProtection="1">
      <alignment horizontal="right"/>
      <protection/>
    </xf>
    <xf numFmtId="0" fontId="0" fillId="0" borderId="0" xfId="0" applyBorder="1" applyAlignment="1" applyProtection="1">
      <alignment horizontal="right"/>
      <protection/>
    </xf>
    <xf numFmtId="0" fontId="0" fillId="0" borderId="10" xfId="0" applyFont="1" applyFill="1" applyBorder="1" applyAlignment="1" applyProtection="1">
      <alignment horizontal="right"/>
      <protection/>
    </xf>
    <xf numFmtId="0" fontId="1" fillId="0" borderId="16" xfId="0" applyFont="1" applyFill="1" applyBorder="1" applyAlignment="1" applyProtection="1">
      <alignment horizontal="center"/>
      <protection/>
    </xf>
    <xf numFmtId="0" fontId="0" fillId="0" borderId="0" xfId="0" applyFill="1" applyBorder="1" applyAlignment="1" applyProtection="1">
      <alignment/>
      <protection/>
    </xf>
    <xf numFmtId="1" fontId="0" fillId="0" borderId="15" xfId="0" applyNumberFormat="1" applyFill="1" applyBorder="1" applyAlignment="1" applyProtection="1">
      <alignment horizontal="center"/>
      <protection/>
    </xf>
    <xf numFmtId="10" fontId="0" fillId="0" borderId="15" xfId="0" applyNumberFormat="1" applyFill="1" applyBorder="1" applyAlignment="1" applyProtection="1">
      <alignment horizontal="center"/>
      <protection/>
    </xf>
    <xf numFmtId="10" fontId="0" fillId="0" borderId="14" xfId="0" applyNumberFormat="1" applyFill="1" applyBorder="1" applyAlignment="1" applyProtection="1">
      <alignment horizontal="center"/>
      <protection/>
    </xf>
    <xf numFmtId="0" fontId="0" fillId="0" borderId="14" xfId="0" applyFill="1" applyBorder="1" applyAlignment="1" applyProtection="1">
      <alignment/>
      <protection/>
    </xf>
    <xf numFmtId="0" fontId="0" fillId="0" borderId="14" xfId="0" applyFill="1" applyBorder="1" applyAlignment="1" applyProtection="1">
      <alignment horizontal="center"/>
      <protection/>
    </xf>
    <xf numFmtId="0" fontId="2" fillId="0" borderId="19" xfId="0" applyFont="1" applyFill="1" applyBorder="1" applyAlignment="1" applyProtection="1">
      <alignment horizontal="left"/>
      <protection/>
    </xf>
    <xf numFmtId="0" fontId="0" fillId="0" borderId="20" xfId="0" applyBorder="1" applyAlignment="1" applyProtection="1">
      <alignment horizontal="right"/>
      <protection/>
    </xf>
    <xf numFmtId="0" fontId="0" fillId="0" borderId="0" xfId="0" applyFill="1" applyBorder="1" applyAlignment="1" applyProtection="1">
      <alignment horizontal="center"/>
      <protection/>
    </xf>
    <xf numFmtId="10" fontId="0" fillId="0" borderId="0" xfId="0" applyNumberFormat="1" applyFill="1" applyBorder="1" applyAlignment="1" applyProtection="1">
      <alignment horizontal="center"/>
      <protection/>
    </xf>
    <xf numFmtId="0" fontId="23" fillId="0" borderId="0" xfId="0" applyFont="1" applyBorder="1" applyAlignment="1" applyProtection="1">
      <alignment horizontal="right"/>
      <protection/>
    </xf>
    <xf numFmtId="0" fontId="0" fillId="0" borderId="0" xfId="0" applyFont="1" applyFill="1" applyBorder="1" applyAlignment="1" applyProtection="1">
      <alignment horizontal="right"/>
      <protection/>
    </xf>
    <xf numFmtId="2"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0" fontId="18" fillId="0" borderId="0" xfId="0" applyFont="1" applyFill="1" applyBorder="1" applyAlignment="1" applyProtection="1">
      <alignment/>
      <protection/>
    </xf>
    <xf numFmtId="0" fontId="0" fillId="0" borderId="0" xfId="0" applyFill="1" applyBorder="1" applyAlignment="1" applyProtection="1">
      <alignment horizontal="right"/>
      <protection/>
    </xf>
    <xf numFmtId="0" fontId="0" fillId="0" borderId="0" xfId="0" applyFont="1" applyFill="1" applyBorder="1" applyAlignment="1" applyProtection="1">
      <alignment horizontal="center"/>
      <protection/>
    </xf>
    <xf numFmtId="165" fontId="0" fillId="0" borderId="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protection/>
    </xf>
    <xf numFmtId="2" fontId="2"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1" fillId="0" borderId="0" xfId="0" applyFont="1" applyFill="1" applyBorder="1" applyAlignment="1" applyProtection="1">
      <alignment/>
      <protection/>
    </xf>
    <xf numFmtId="2" fontId="0" fillId="0" borderId="0" xfId="57" applyFill="1" applyProtection="1">
      <alignment/>
      <protection/>
    </xf>
    <xf numFmtId="0" fontId="0" fillId="0" borderId="13" xfId="0" applyFont="1" applyBorder="1" applyAlignment="1" applyProtection="1">
      <alignment/>
      <protection/>
    </xf>
    <xf numFmtId="0" fontId="0" fillId="0" borderId="0" xfId="0" applyFont="1" applyBorder="1" applyAlignment="1" applyProtection="1">
      <alignment/>
      <protection/>
    </xf>
    <xf numFmtId="0" fontId="24" fillId="0" borderId="0" xfId="0" applyFont="1" applyBorder="1" applyAlignment="1" applyProtection="1">
      <alignment horizontal="right"/>
      <protection/>
    </xf>
    <xf numFmtId="0" fontId="0" fillId="0" borderId="22" xfId="0" applyBorder="1" applyAlignment="1" applyProtection="1">
      <alignment/>
      <protection/>
    </xf>
    <xf numFmtId="0" fontId="0" fillId="0" borderId="0" xfId="0" applyAlignment="1" applyProtection="1">
      <alignment/>
      <protection/>
    </xf>
    <xf numFmtId="0" fontId="24" fillId="0" borderId="0" xfId="0" applyFont="1" applyFill="1" applyBorder="1" applyAlignment="1" applyProtection="1">
      <alignment horizontal="right"/>
      <protection/>
    </xf>
    <xf numFmtId="0" fontId="24" fillId="0" borderId="0" xfId="0" applyFont="1" applyBorder="1" applyAlignment="1" applyProtection="1">
      <alignment/>
      <protection/>
    </xf>
    <xf numFmtId="2" fontId="0" fillId="0" borderId="0" xfId="57" applyFill="1" applyAlignment="1" applyProtection="1">
      <alignment horizontal="left"/>
      <protection locked="0"/>
    </xf>
    <xf numFmtId="9" fontId="0" fillId="0" borderId="0" xfId="0" applyNumberFormat="1" applyFill="1" applyAlignment="1" applyProtection="1">
      <alignment horizontal="right"/>
      <protection locked="0"/>
    </xf>
    <xf numFmtId="1" fontId="10" fillId="0" borderId="0" xfId="57" applyNumberFormat="1" applyFont="1" applyFill="1" applyAlignment="1" applyProtection="1">
      <alignment horizontal="center"/>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0" xfId="0" applyFill="1" applyAlignment="1" applyProtection="1">
      <alignment horizontal="left"/>
      <protection locked="0"/>
    </xf>
    <xf numFmtId="2" fontId="12" fillId="0" borderId="0" xfId="57" applyFont="1" applyFill="1" applyProtection="1">
      <alignment/>
      <protection locked="0"/>
    </xf>
    <xf numFmtId="2" fontId="1" fillId="0" borderId="26" xfId="0" applyNumberFormat="1" applyFont="1" applyFill="1" applyBorder="1" applyAlignment="1" applyProtection="1">
      <alignment horizontal="center"/>
      <protection locked="0"/>
    </xf>
    <xf numFmtId="0" fontId="1" fillId="0" borderId="27" xfId="0" applyFont="1" applyFill="1" applyBorder="1" applyAlignment="1" applyProtection="1">
      <alignment/>
      <protection locked="0"/>
    </xf>
    <xf numFmtId="0" fontId="0" fillId="0" borderId="0" xfId="0" applyBorder="1" applyAlignment="1" applyProtection="1">
      <alignment horizontal="center"/>
      <protection/>
    </xf>
    <xf numFmtId="2" fontId="0" fillId="0" borderId="0" xfId="0" applyNumberFormat="1" applyBorder="1" applyAlignment="1" applyProtection="1">
      <alignment horizontal="center"/>
      <protection/>
    </xf>
    <xf numFmtId="0" fontId="3" fillId="0" borderId="10" xfId="0" applyFont="1" applyBorder="1" applyAlignment="1" applyProtection="1">
      <alignment/>
      <protection/>
    </xf>
    <xf numFmtId="0" fontId="0" fillId="0" borderId="13" xfId="0" applyBorder="1" applyAlignment="1" applyProtection="1">
      <alignment/>
      <protection/>
    </xf>
    <xf numFmtId="0" fontId="1" fillId="0" borderId="0" xfId="0" applyFont="1" applyBorder="1" applyAlignment="1" applyProtection="1">
      <alignment horizontal="center"/>
      <protection/>
    </xf>
    <xf numFmtId="0" fontId="0" fillId="34" borderId="0" xfId="0" applyFill="1" applyAlignment="1" applyProtection="1">
      <alignment/>
      <protection locked="0"/>
    </xf>
    <xf numFmtId="1" fontId="10" fillId="0" borderId="0" xfId="57" applyNumberFormat="1" applyFont="1" applyFill="1" applyBorder="1" applyAlignment="1" applyProtection="1">
      <alignment horizontal="center"/>
      <protection locked="0"/>
    </xf>
    <xf numFmtId="2" fontId="0" fillId="0" borderId="0" xfId="57" applyFont="1" applyFill="1" applyAlignment="1" applyProtection="1">
      <alignment horizontal="center"/>
      <protection locked="0"/>
    </xf>
    <xf numFmtId="167" fontId="0" fillId="0" borderId="0" xfId="57" applyNumberFormat="1" applyFill="1" applyAlignment="1" applyProtection="1">
      <alignment horizontal="right"/>
      <protection locked="0"/>
    </xf>
    <xf numFmtId="1" fontId="0" fillId="0" borderId="0" xfId="0" applyNumberFormat="1" applyFill="1" applyBorder="1" applyAlignment="1" applyProtection="1">
      <alignment horizontal="left"/>
      <protection locked="0"/>
    </xf>
    <xf numFmtId="2" fontId="0" fillId="0" borderId="0" xfId="57" applyFill="1" applyBorder="1" applyProtection="1">
      <alignment/>
      <protection locked="0"/>
    </xf>
    <xf numFmtId="0" fontId="1" fillId="0" borderId="16" xfId="0" applyFont="1" applyFill="1" applyBorder="1" applyAlignment="1" applyProtection="1">
      <alignment horizontal="center" wrapText="1"/>
      <protection/>
    </xf>
    <xf numFmtId="2" fontId="0" fillId="0" borderId="14" xfId="0" applyNumberFormat="1" applyFont="1" applyFill="1" applyBorder="1" applyAlignment="1" applyProtection="1">
      <alignment horizontal="center"/>
      <protection/>
    </xf>
    <xf numFmtId="0" fontId="0" fillId="0" borderId="15" xfId="0" applyBorder="1" applyAlignment="1" applyProtection="1">
      <alignment horizontal="center"/>
      <protection/>
    </xf>
    <xf numFmtId="0" fontId="23" fillId="0" borderId="0" xfId="0" applyFont="1" applyFill="1" applyBorder="1" applyAlignment="1" applyProtection="1">
      <alignment horizontal="right"/>
      <protection/>
    </xf>
    <xf numFmtId="0" fontId="1" fillId="0" borderId="0" xfId="0" applyFont="1" applyBorder="1" applyAlignment="1" applyProtection="1">
      <alignment/>
      <protection/>
    </xf>
    <xf numFmtId="0" fontId="0" fillId="0" borderId="11" xfId="0" applyBorder="1" applyAlignment="1" applyProtection="1">
      <alignment horizontal="center"/>
      <protection/>
    </xf>
    <xf numFmtId="0" fontId="18" fillId="0" borderId="10" xfId="0" applyFont="1" applyFill="1" applyBorder="1" applyAlignment="1" applyProtection="1">
      <alignment/>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2" fontId="0" fillId="0" borderId="11" xfId="57" applyFill="1" applyBorder="1" applyAlignment="1" applyProtection="1">
      <alignment/>
      <protection/>
    </xf>
    <xf numFmtId="0" fontId="0" fillId="0" borderId="10" xfId="0" applyFill="1" applyBorder="1" applyAlignment="1" applyProtection="1">
      <alignment/>
      <protection/>
    </xf>
    <xf numFmtId="2" fontId="1" fillId="0" borderId="0" xfId="57" applyFont="1" applyFill="1" applyBorder="1" applyAlignment="1" applyProtection="1">
      <alignment horizontal="right"/>
      <protection/>
    </xf>
    <xf numFmtId="2" fontId="0" fillId="0" borderId="11" xfId="57" applyFill="1" applyBorder="1" applyProtection="1">
      <alignment/>
      <protection/>
    </xf>
    <xf numFmtId="0" fontId="0" fillId="0" borderId="11" xfId="0" applyFill="1" applyBorder="1" applyAlignment="1" applyProtection="1">
      <alignment/>
      <protection/>
    </xf>
    <xf numFmtId="0" fontId="23" fillId="0" borderId="0" xfId="0" applyFont="1" applyFill="1" applyBorder="1" applyAlignment="1" applyProtection="1">
      <alignment horizontal="center"/>
      <protection/>
    </xf>
    <xf numFmtId="0" fontId="0" fillId="0" borderId="12" xfId="0"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28" xfId="0" applyFill="1" applyBorder="1" applyAlignment="1" applyProtection="1">
      <alignment/>
      <protection locked="0"/>
    </xf>
    <xf numFmtId="2" fontId="23" fillId="0" borderId="0" xfId="0" applyNumberFormat="1" applyFont="1" applyFill="1" applyBorder="1" applyAlignment="1" applyProtection="1">
      <alignment/>
      <protection/>
    </xf>
    <xf numFmtId="0" fontId="9" fillId="0" borderId="0" xfId="0" applyFont="1" applyBorder="1" applyAlignment="1" applyProtection="1">
      <alignment/>
      <protection/>
    </xf>
    <xf numFmtId="0" fontId="20" fillId="0" borderId="0" xfId="0" applyFont="1" applyBorder="1" applyAlignment="1" applyProtection="1">
      <alignment/>
      <protection/>
    </xf>
    <xf numFmtId="2" fontId="0" fillId="0" borderId="0" xfId="0" applyNumberFormat="1" applyFont="1" applyFill="1" applyBorder="1" applyAlignment="1" applyProtection="1">
      <alignment/>
      <protection/>
    </xf>
    <xf numFmtId="0" fontId="18" fillId="0" borderId="10" xfId="0" applyFont="1" applyFill="1" applyBorder="1" applyAlignment="1" applyProtection="1">
      <alignment/>
      <protection/>
    </xf>
    <xf numFmtId="0" fontId="2" fillId="0" borderId="19" xfId="0" applyFont="1" applyFill="1" applyBorder="1" applyAlignment="1" applyProtection="1">
      <alignment horizontal="right"/>
      <protection/>
    </xf>
    <xf numFmtId="2" fontId="2" fillId="0" borderId="20" xfId="0" applyNumberFormat="1" applyFont="1" applyFill="1" applyBorder="1" applyAlignment="1" applyProtection="1">
      <alignment/>
      <protection/>
    </xf>
    <xf numFmtId="0" fontId="2" fillId="0" borderId="21" xfId="0" applyFont="1" applyFill="1" applyBorder="1" applyAlignment="1" applyProtection="1">
      <alignment/>
      <protection/>
    </xf>
    <xf numFmtId="0" fontId="0" fillId="0" borderId="10" xfId="0" applyBorder="1" applyAlignment="1" applyProtection="1">
      <alignment/>
      <protection/>
    </xf>
    <xf numFmtId="0" fontId="0" fillId="0" borderId="29" xfId="0" applyFont="1" applyFill="1" applyBorder="1" applyAlignment="1" applyProtection="1">
      <alignment horizontal="center" wrapText="1"/>
      <protection locked="0"/>
    </xf>
    <xf numFmtId="0" fontId="0" fillId="0" borderId="30" xfId="0" applyFont="1" applyFill="1" applyBorder="1" applyAlignment="1" applyProtection="1">
      <alignment horizontal="center" wrapText="1"/>
      <protection locked="0"/>
    </xf>
    <xf numFmtId="0" fontId="0" fillId="0" borderId="31" xfId="0" applyFont="1" applyFill="1" applyBorder="1" applyAlignment="1" applyProtection="1">
      <alignment horizontal="center" wrapText="1"/>
      <protection locked="0"/>
    </xf>
    <xf numFmtId="0" fontId="0" fillId="0" borderId="32" xfId="0" applyFont="1" applyFill="1" applyBorder="1" applyAlignment="1" applyProtection="1">
      <alignment horizontal="center" wrapText="1"/>
      <protection locked="0"/>
    </xf>
    <xf numFmtId="2" fontId="0" fillId="0" borderId="0" xfId="0" applyNumberFormat="1" applyFill="1" applyAlignment="1" applyProtection="1">
      <alignment horizontal="right"/>
      <protection locked="0"/>
    </xf>
    <xf numFmtId="0" fontId="0" fillId="0" borderId="10" xfId="0" applyFill="1" applyBorder="1" applyAlignment="1" applyProtection="1">
      <alignment horizontal="right"/>
      <protection locked="0"/>
    </xf>
    <xf numFmtId="10" fontId="1" fillId="0" borderId="16" xfId="0" applyNumberFormat="1" applyFont="1" applyFill="1" applyBorder="1" applyAlignment="1" applyProtection="1">
      <alignment horizontal="center"/>
      <protection/>
    </xf>
    <xf numFmtId="2" fontId="0" fillId="0" borderId="15" xfId="0" applyNumberFormat="1" applyFill="1" applyBorder="1" applyAlignment="1" applyProtection="1">
      <alignment horizontal="center"/>
      <protection/>
    </xf>
    <xf numFmtId="2" fontId="0" fillId="0" borderId="16" xfId="0" applyNumberFormat="1" applyFill="1" applyBorder="1" applyAlignment="1" applyProtection="1">
      <alignment horizontal="center"/>
      <protection/>
    </xf>
    <xf numFmtId="0" fontId="19" fillId="0" borderId="0" xfId="0" applyFont="1" applyFill="1" applyBorder="1" applyAlignment="1" applyProtection="1">
      <alignment/>
      <protection/>
    </xf>
    <xf numFmtId="0" fontId="0" fillId="0" borderId="10" xfId="0" applyFill="1" applyBorder="1" applyAlignment="1" applyProtection="1">
      <alignment horizontal="right"/>
      <protection/>
    </xf>
    <xf numFmtId="0" fontId="2" fillId="0" borderId="19" xfId="0" applyFont="1" applyBorder="1" applyAlignment="1" applyProtection="1">
      <alignment/>
      <protection/>
    </xf>
    <xf numFmtId="0" fontId="0" fillId="0" borderId="20" xfId="0" applyFont="1" applyFill="1" applyBorder="1" applyAlignment="1" applyProtection="1">
      <alignment/>
      <protection/>
    </xf>
    <xf numFmtId="2" fontId="0" fillId="0" borderId="14" xfId="0" applyNumberForma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14" fontId="0" fillId="0" borderId="0" xfId="0" applyNumberFormat="1" applyFill="1" applyBorder="1" applyAlignment="1" applyProtection="1">
      <alignment/>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wrapText="1"/>
      <protection/>
    </xf>
    <xf numFmtId="0" fontId="0" fillId="0" borderId="0" xfId="0" applyNumberFormat="1" applyFont="1" applyFill="1" applyBorder="1" applyAlignment="1" applyProtection="1">
      <alignment horizontal="center" wrapText="1"/>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0" xfId="0" applyFill="1" applyAlignment="1" applyProtection="1">
      <alignment horizontal="right"/>
      <protection/>
    </xf>
    <xf numFmtId="0" fontId="0" fillId="0" borderId="0" xfId="0" applyFont="1" applyFill="1" applyBorder="1" applyAlignment="1" applyProtection="1">
      <alignment horizontal="center" wrapText="1"/>
      <protection/>
    </xf>
    <xf numFmtId="0" fontId="10" fillId="0" borderId="0" xfId="0" applyFont="1" applyFill="1" applyAlignment="1" applyProtection="1">
      <alignment/>
      <protection/>
    </xf>
    <xf numFmtId="2" fontId="0" fillId="0" borderId="0" xfId="0" applyNumberFormat="1" applyFont="1" applyFill="1" applyAlignment="1" applyProtection="1">
      <alignment horizontal="right"/>
      <protection/>
    </xf>
    <xf numFmtId="1" fontId="1" fillId="0" borderId="0" xfId="57" applyNumberFormat="1" applyFont="1" applyFill="1" applyAlignment="1" applyProtection="1">
      <alignment horizontal="center"/>
      <protection/>
    </xf>
    <xf numFmtId="1" fontId="1" fillId="0" borderId="0" xfId="57" applyNumberFormat="1" applyFont="1" applyFill="1" applyBorder="1" applyAlignment="1" applyProtection="1">
      <alignment horizontal="center"/>
      <protection/>
    </xf>
    <xf numFmtId="2" fontId="12" fillId="0" borderId="0" xfId="57" applyFont="1" applyFill="1" applyBorder="1" applyProtection="1">
      <alignment/>
      <protection/>
    </xf>
    <xf numFmtId="2" fontId="0" fillId="0" borderId="0" xfId="0" applyNumberFormat="1" applyFill="1" applyAlignment="1" applyProtection="1">
      <alignment/>
      <protection/>
    </xf>
    <xf numFmtId="2" fontId="0" fillId="0" borderId="0" xfId="57" applyFill="1" applyAlignment="1" applyProtection="1">
      <alignment horizontal="right"/>
      <protection/>
    </xf>
    <xf numFmtId="2" fontId="0" fillId="0" borderId="0" xfId="57" applyFont="1" applyFill="1" applyBorder="1" applyAlignment="1" applyProtection="1">
      <alignment horizontal="right"/>
      <protection/>
    </xf>
    <xf numFmtId="2" fontId="0" fillId="0" borderId="0" xfId="57" applyFill="1" applyBorder="1" applyAlignment="1" applyProtection="1">
      <alignment horizontal="right"/>
      <protection/>
    </xf>
    <xf numFmtId="2" fontId="0" fillId="0" borderId="0" xfId="0" applyNumberFormat="1" applyFill="1" applyBorder="1" applyAlignment="1" applyProtection="1">
      <alignment/>
      <protection/>
    </xf>
    <xf numFmtId="0" fontId="1" fillId="0" borderId="0" xfId="0" applyFont="1" applyFill="1" applyAlignment="1" applyProtection="1">
      <alignment horizontal="right"/>
      <protection/>
    </xf>
    <xf numFmtId="2" fontId="1" fillId="0" borderId="0" xfId="57" applyFont="1" applyFill="1" applyProtection="1">
      <alignment/>
      <protection/>
    </xf>
    <xf numFmtId="2" fontId="0" fillId="0" borderId="0" xfId="57" applyFill="1" applyAlignment="1" applyProtection="1">
      <alignment horizontal="left"/>
      <protection/>
    </xf>
    <xf numFmtId="2" fontId="0" fillId="0" borderId="0" xfId="57" applyFont="1" applyFill="1" applyAlignment="1" applyProtection="1">
      <alignment horizontal="left"/>
      <protection/>
    </xf>
    <xf numFmtId="1" fontId="10" fillId="0" borderId="0" xfId="57" applyNumberFormat="1" applyFont="1" applyFill="1" applyAlignment="1" applyProtection="1">
      <alignment horizontal="center"/>
      <protection/>
    </xf>
    <xf numFmtId="0" fontId="0" fillId="0" borderId="0" xfId="0" applyFill="1" applyBorder="1" applyAlignment="1" applyProtection="1">
      <alignment horizontal="left"/>
      <protection/>
    </xf>
    <xf numFmtId="0" fontId="0" fillId="0" borderId="35" xfId="0" applyFill="1" applyBorder="1" applyAlignment="1" applyProtection="1">
      <alignment horizontal="center"/>
      <protection/>
    </xf>
    <xf numFmtId="0" fontId="0" fillId="0" borderId="26" xfId="0" applyFill="1" applyBorder="1" applyAlignment="1" applyProtection="1">
      <alignment horizontal="center"/>
      <protection/>
    </xf>
    <xf numFmtId="0" fontId="0" fillId="0" borderId="0" xfId="0" applyFill="1" applyAlignment="1" applyProtection="1">
      <alignment horizontal="left"/>
      <protection/>
    </xf>
    <xf numFmtId="0" fontId="0" fillId="0" borderId="36" xfId="0" applyFont="1" applyFill="1" applyBorder="1" applyAlignment="1" applyProtection="1">
      <alignment wrapText="1"/>
      <protection/>
    </xf>
    <xf numFmtId="0" fontId="0" fillId="0" borderId="15" xfId="0" applyFill="1" applyBorder="1" applyAlignment="1" applyProtection="1">
      <alignment/>
      <protection/>
    </xf>
    <xf numFmtId="0" fontId="0" fillId="0" borderId="37" xfId="0" applyFill="1" applyBorder="1" applyAlignment="1" applyProtection="1">
      <alignment horizontal="center"/>
      <protection/>
    </xf>
    <xf numFmtId="0" fontId="0" fillId="0" borderId="35" xfId="0" applyNumberFormat="1" applyFont="1" applyFill="1" applyBorder="1" applyAlignment="1" applyProtection="1">
      <alignment horizontal="center" wrapText="1"/>
      <protection/>
    </xf>
    <xf numFmtId="0" fontId="0" fillId="0" borderId="38"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22"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40"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33" xfId="0" applyFill="1" applyBorder="1" applyAlignment="1" applyProtection="1">
      <alignment horizontal="center"/>
      <protection/>
    </xf>
    <xf numFmtId="0" fontId="1" fillId="0" borderId="14" xfId="0" applyFont="1" applyFill="1" applyBorder="1" applyAlignment="1" applyProtection="1">
      <alignment/>
      <protection/>
    </xf>
    <xf numFmtId="1" fontId="0" fillId="0" borderId="0" xfId="0" applyNumberFormat="1" applyFill="1" applyAlignment="1" applyProtection="1">
      <alignment/>
      <protection/>
    </xf>
    <xf numFmtId="10" fontId="0" fillId="0" borderId="14" xfId="0" applyNumberFormat="1" applyFill="1" applyBorder="1" applyAlignment="1" applyProtection="1">
      <alignment/>
      <protection/>
    </xf>
    <xf numFmtId="1" fontId="1" fillId="0" borderId="0" xfId="57" applyNumberFormat="1" applyFont="1" applyFill="1" applyAlignment="1" applyProtection="1">
      <alignment horizontal="right"/>
      <protection/>
    </xf>
    <xf numFmtId="2" fontId="1" fillId="0" borderId="0" xfId="57" applyNumberFormat="1" applyFont="1" applyFill="1" applyAlignment="1" applyProtection="1">
      <alignment horizontal="center"/>
      <protection/>
    </xf>
    <xf numFmtId="2" fontId="0" fillId="0" borderId="0" xfId="0" applyNumberFormat="1" applyFill="1" applyAlignment="1" applyProtection="1">
      <alignment horizontal="center"/>
      <protection/>
    </xf>
    <xf numFmtId="1" fontId="2" fillId="0" borderId="21" xfId="0" applyNumberFormat="1" applyFont="1" applyFill="1" applyBorder="1" applyAlignment="1" applyProtection="1">
      <alignment horizontal="center"/>
      <protection/>
    </xf>
    <xf numFmtId="2" fontId="0" fillId="0" borderId="0" xfId="0" applyNumberFormat="1" applyFill="1" applyBorder="1" applyAlignment="1" applyProtection="1">
      <alignment horizontal="left"/>
      <protection/>
    </xf>
    <xf numFmtId="1" fontId="0" fillId="0" borderId="0" xfId="0" applyNumberFormat="1" applyFill="1" applyBorder="1" applyAlignment="1" applyProtection="1">
      <alignment horizontal="lef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horizontal="left"/>
      <protection/>
    </xf>
    <xf numFmtId="0" fontId="1" fillId="0" borderId="0" xfId="0" applyFont="1" applyFill="1" applyAlignment="1" applyProtection="1">
      <alignment/>
      <protection/>
    </xf>
    <xf numFmtId="0" fontId="1" fillId="0" borderId="41" xfId="0" applyFont="1" applyFill="1" applyBorder="1" applyAlignment="1" applyProtection="1">
      <alignment/>
      <protection/>
    </xf>
    <xf numFmtId="0" fontId="1" fillId="0" borderId="41" xfId="0" applyFont="1" applyFill="1" applyBorder="1" applyAlignment="1" applyProtection="1">
      <alignment horizontal="center"/>
      <protection/>
    </xf>
    <xf numFmtId="0" fontId="1" fillId="0" borderId="41" xfId="0" applyFont="1" applyBorder="1" applyAlignment="1" applyProtection="1">
      <alignment horizontal="center"/>
      <protection/>
    </xf>
    <xf numFmtId="10" fontId="0" fillId="0" borderId="39" xfId="0" applyNumberFormat="1" applyFill="1" applyBorder="1" applyAlignment="1" applyProtection="1">
      <alignment horizontal="center"/>
      <protection/>
    </xf>
    <xf numFmtId="10" fontId="0" fillId="0" borderId="40" xfId="0" applyNumberFormat="1" applyFill="1" applyBorder="1" applyAlignment="1" applyProtection="1">
      <alignment horizontal="center"/>
      <protection/>
    </xf>
    <xf numFmtId="0" fontId="0" fillId="0" borderId="14" xfId="0" applyBorder="1" applyAlignment="1" applyProtection="1">
      <alignment horizontal="center"/>
      <protection/>
    </xf>
    <xf numFmtId="0" fontId="0" fillId="0" borderId="16" xfId="0" applyFill="1" applyBorder="1" applyAlignment="1" applyProtection="1">
      <alignment/>
      <protection/>
    </xf>
    <xf numFmtId="10" fontId="0" fillId="0" borderId="42" xfId="0" applyNumberFormat="1" applyFill="1" applyBorder="1" applyAlignment="1" applyProtection="1">
      <alignment horizontal="center"/>
      <protection/>
    </xf>
    <xf numFmtId="0" fontId="0" fillId="0" borderId="16" xfId="0" applyBorder="1" applyAlignment="1" applyProtection="1">
      <alignment horizontal="center"/>
      <protection/>
    </xf>
    <xf numFmtId="1" fontId="0" fillId="0" borderId="0" xfId="0" applyNumberFormat="1" applyFill="1" applyAlignment="1" applyProtection="1">
      <alignment horizontal="center"/>
      <protection/>
    </xf>
    <xf numFmtId="1" fontId="1" fillId="0" borderId="0" xfId="0" applyNumberFormat="1" applyFont="1" applyFill="1" applyAlignment="1" applyProtection="1">
      <alignment horizontal="center"/>
      <protection/>
    </xf>
    <xf numFmtId="0" fontId="29" fillId="0" borderId="0" xfId="0" applyFont="1" applyFill="1" applyAlignment="1" applyProtection="1">
      <alignment/>
      <protection/>
    </xf>
    <xf numFmtId="0" fontId="9" fillId="0" borderId="0" xfId="0" applyFont="1" applyFill="1" applyAlignment="1" applyProtection="1">
      <alignment/>
      <protection/>
    </xf>
    <xf numFmtId="0" fontId="0" fillId="33" borderId="14" xfId="0" applyFill="1" applyBorder="1" applyAlignment="1" applyProtection="1">
      <alignment horizontal="center" shrinkToFit="1"/>
      <protection locked="0"/>
    </xf>
    <xf numFmtId="0" fontId="12" fillId="0" borderId="0" xfId="0" applyFont="1" applyFill="1" applyBorder="1" applyAlignment="1" applyProtection="1">
      <alignment/>
      <protection/>
    </xf>
    <xf numFmtId="0" fontId="12" fillId="0" borderId="0" xfId="0" applyFont="1" applyFill="1" applyBorder="1" applyAlignment="1">
      <alignment/>
    </xf>
    <xf numFmtId="0" fontId="0" fillId="33" borderId="26" xfId="0" applyFill="1" applyBorder="1" applyAlignment="1" applyProtection="1">
      <alignment horizontal="center" vertical="center"/>
      <protection locked="0"/>
    </xf>
    <xf numFmtId="2" fontId="1" fillId="0" borderId="26" xfId="0" applyNumberFormat="1" applyFont="1" applyBorder="1" applyAlignment="1" applyProtection="1">
      <alignment horizontal="center" vertical="center"/>
      <protection/>
    </xf>
    <xf numFmtId="0" fontId="1" fillId="0" borderId="27" xfId="0" applyFont="1" applyBorder="1" applyAlignment="1" applyProtection="1">
      <alignment vertical="center"/>
      <protection/>
    </xf>
    <xf numFmtId="0" fontId="0" fillId="0" borderId="40" xfId="0" applyFill="1" applyBorder="1" applyAlignment="1" applyProtection="1">
      <alignment horizontal="left"/>
      <protection/>
    </xf>
    <xf numFmtId="0" fontId="0" fillId="0" borderId="28" xfId="0" applyBorder="1" applyAlignment="1" applyProtection="1">
      <alignment horizontal="left"/>
      <protection/>
    </xf>
    <xf numFmtId="0" fontId="0" fillId="0" borderId="33" xfId="0" applyBorder="1" applyAlignment="1" applyProtection="1">
      <alignment horizontal="left"/>
      <protection/>
    </xf>
    <xf numFmtId="0" fontId="12" fillId="0" borderId="0" xfId="0" applyFont="1" applyFill="1" applyAlignment="1" applyProtection="1">
      <alignment/>
      <protection/>
    </xf>
    <xf numFmtId="0" fontId="30" fillId="0" borderId="0" xfId="0" applyFont="1" applyFill="1" applyAlignment="1" applyProtection="1">
      <alignment/>
      <protection/>
    </xf>
    <xf numFmtId="0" fontId="30" fillId="0" borderId="0" xfId="0" applyFont="1" applyFill="1" applyAlignment="1" applyProtection="1">
      <alignment horizontal="right"/>
      <protection/>
    </xf>
    <xf numFmtId="0" fontId="0" fillId="0" borderId="0" xfId="0" applyFont="1" applyFill="1" applyAlignment="1" applyProtection="1">
      <alignment horizontal="left"/>
      <protection/>
    </xf>
    <xf numFmtId="0" fontId="0" fillId="0" borderId="0" xfId="0" applyFont="1" applyAlignment="1" applyProtection="1">
      <alignment horizontal="left"/>
      <protection/>
    </xf>
    <xf numFmtId="2" fontId="1" fillId="0" borderId="0" xfId="0" applyNumberFormat="1" applyFont="1" applyFill="1" applyAlignment="1" applyProtection="1">
      <alignment horizontal="center"/>
      <protection/>
    </xf>
    <xf numFmtId="1" fontId="1" fillId="0" borderId="0" xfId="0" applyNumberFormat="1" applyFont="1" applyBorder="1" applyAlignment="1" applyProtection="1">
      <alignment horizontal="center"/>
      <protection/>
    </xf>
    <xf numFmtId="0" fontId="31" fillId="0" borderId="0" xfId="0" applyFont="1" applyFill="1" applyAlignment="1" applyProtection="1">
      <alignment vertical="top" wrapText="1"/>
      <protection/>
    </xf>
    <xf numFmtId="1" fontId="0" fillId="0" borderId="0" xfId="0" applyNumberFormat="1" applyFill="1" applyBorder="1" applyAlignment="1" applyProtection="1">
      <alignment horizontal="center"/>
      <protection/>
    </xf>
    <xf numFmtId="0" fontId="32" fillId="0" borderId="0" xfId="0" applyFont="1" applyAlignment="1" applyProtection="1">
      <alignment wrapText="1"/>
      <protection/>
    </xf>
    <xf numFmtId="0" fontId="0" fillId="33" borderId="43" xfId="0" applyFill="1" applyBorder="1" applyAlignment="1" applyProtection="1">
      <alignment horizontal="center"/>
      <protection locked="0"/>
    </xf>
    <xf numFmtId="0" fontId="0" fillId="33" borderId="44" xfId="0" applyFill="1" applyBorder="1" applyAlignment="1" applyProtection="1">
      <alignment horizontal="center"/>
      <protection locked="0"/>
    </xf>
    <xf numFmtId="0" fontId="0" fillId="33" borderId="18" xfId="0" applyFill="1" applyBorder="1" applyAlignment="1" applyProtection="1">
      <alignment horizontal="center"/>
      <protection locked="0"/>
    </xf>
    <xf numFmtId="175" fontId="0" fillId="33" borderId="44" xfId="0" applyNumberFormat="1" applyFill="1" applyBorder="1" applyAlignment="1" applyProtection="1">
      <alignment horizontal="center"/>
      <protection locked="0"/>
    </xf>
    <xf numFmtId="175" fontId="0" fillId="0" borderId="11" xfId="0" applyNumberFormat="1" applyFill="1" applyBorder="1" applyAlignment="1" applyProtection="1">
      <alignment/>
      <protection/>
    </xf>
    <xf numFmtId="175" fontId="0" fillId="0" borderId="11" xfId="0" applyNumberFormat="1" applyBorder="1" applyAlignment="1">
      <alignment/>
    </xf>
    <xf numFmtId="0" fontId="0" fillId="0" borderId="0" xfId="0" applyFill="1" applyBorder="1" applyAlignment="1" applyProtection="1">
      <alignment horizontal="right" wrapText="1"/>
      <protection/>
    </xf>
    <xf numFmtId="0" fontId="18" fillId="0" borderId="10" xfId="0" applyFont="1" applyFill="1" applyBorder="1" applyAlignment="1" applyProtection="1">
      <alignment horizontal="center" wrapText="1"/>
      <protection/>
    </xf>
    <xf numFmtId="0" fontId="0" fillId="0" borderId="12" xfId="0" applyBorder="1" applyAlignment="1" applyProtection="1">
      <alignment horizontal="center"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1" fillId="0" borderId="10" xfId="0" applyFont="1" applyFill="1" applyBorder="1" applyAlignment="1" applyProtection="1">
      <alignment horizontal="right" wrapText="1"/>
      <protection/>
    </xf>
    <xf numFmtId="0" fontId="0" fillId="0" borderId="13" xfId="0" applyFill="1" applyBorder="1" applyAlignment="1" applyProtection="1">
      <alignment/>
      <protection/>
    </xf>
    <xf numFmtId="0" fontId="0" fillId="0" borderId="22" xfId="0" applyFont="1" applyBorder="1" applyAlignment="1" applyProtection="1">
      <alignment vertical="center"/>
      <protection/>
    </xf>
    <xf numFmtId="10" fontId="0" fillId="0" borderId="27" xfId="0" applyNumberFormat="1" applyFill="1" applyBorder="1" applyAlignment="1" applyProtection="1">
      <alignment horizontal="left" vertical="center"/>
      <protection/>
    </xf>
    <xf numFmtId="0" fontId="0" fillId="0" borderId="40" xfId="0" applyFill="1" applyBorder="1" applyAlignment="1" applyProtection="1">
      <alignment/>
      <protection/>
    </xf>
    <xf numFmtId="0" fontId="1" fillId="0" borderId="40" xfId="0" applyFont="1" applyFill="1" applyBorder="1" applyAlignment="1" applyProtection="1">
      <alignment/>
      <protection/>
    </xf>
    <xf numFmtId="0" fontId="0" fillId="0" borderId="14" xfId="0" applyFill="1" applyBorder="1" applyAlignment="1" applyProtection="1">
      <alignment horizontal="right"/>
      <protection/>
    </xf>
    <xf numFmtId="0" fontId="1" fillId="0" borderId="14" xfId="0" applyFont="1" applyFill="1" applyBorder="1" applyAlignment="1" applyProtection="1">
      <alignment horizontal="right"/>
      <protection/>
    </xf>
    <xf numFmtId="0" fontId="0" fillId="0" borderId="45" xfId="0" applyFill="1" applyBorder="1" applyAlignment="1" applyProtection="1">
      <alignment/>
      <protection/>
    </xf>
    <xf numFmtId="175" fontId="0" fillId="0" borderId="11" xfId="0" applyNumberFormat="1" applyBorder="1" applyAlignment="1" applyProtection="1">
      <alignment/>
      <protection/>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13" xfId="0" applyFont="1" applyFill="1" applyBorder="1" applyAlignment="1">
      <alignment horizontal="center" wrapText="1"/>
    </xf>
    <xf numFmtId="0" fontId="0" fillId="0" borderId="22" xfId="0" applyFont="1" applyFill="1" applyBorder="1" applyAlignment="1">
      <alignment horizontal="center" wrapText="1"/>
    </xf>
    <xf numFmtId="0" fontId="0" fillId="0" borderId="39"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ill="1" applyBorder="1" applyAlignment="1">
      <alignment/>
    </xf>
    <xf numFmtId="0" fontId="1" fillId="0" borderId="14" xfId="0" applyFont="1" applyFill="1" applyBorder="1" applyAlignment="1">
      <alignment horizontal="center"/>
    </xf>
    <xf numFmtId="0" fontId="1" fillId="0" borderId="40" xfId="0" applyFont="1" applyFill="1" applyBorder="1" applyAlignment="1">
      <alignment horizontal="center"/>
    </xf>
    <xf numFmtId="0" fontId="1" fillId="0" borderId="33" xfId="0" applyFont="1" applyFill="1" applyBorder="1" applyAlignment="1">
      <alignment horizontal="center"/>
    </xf>
    <xf numFmtId="0" fontId="0" fillId="33" borderId="15" xfId="0" applyFont="1" applyFill="1" applyBorder="1" applyAlignment="1" applyProtection="1">
      <alignment horizontal="center" vertical="center" wrapText="1"/>
      <protection locked="0"/>
    </xf>
    <xf numFmtId="0" fontId="0" fillId="33" borderId="15" xfId="0" applyFont="1" applyFill="1" applyBorder="1" applyAlignment="1" applyProtection="1">
      <alignment horizontal="center" vertical="center"/>
      <protection locked="0"/>
    </xf>
    <xf numFmtId="165" fontId="0" fillId="33" borderId="15" xfId="0" applyNumberFormat="1" applyFont="1"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24" fillId="0" borderId="0" xfId="0" applyFont="1" applyBorder="1" applyAlignment="1" applyProtection="1">
      <alignment horizontal="center"/>
      <protection/>
    </xf>
    <xf numFmtId="0" fontId="0" fillId="0" borderId="0" xfId="0" applyFill="1" applyAlignment="1" applyProtection="1">
      <alignment horizontal="center"/>
      <protection/>
    </xf>
    <xf numFmtId="2" fontId="23" fillId="0" borderId="17" xfId="0" applyNumberFormat="1" applyFont="1" applyBorder="1" applyAlignment="1" applyProtection="1">
      <alignment/>
      <protection/>
    </xf>
    <xf numFmtId="0" fontId="2" fillId="0" borderId="17" xfId="0" applyFont="1" applyBorder="1" applyAlignment="1" applyProtection="1">
      <alignment horizontal="right"/>
      <protection/>
    </xf>
    <xf numFmtId="2" fontId="0" fillId="0" borderId="17" xfId="0" applyNumberFormat="1" applyBorder="1" applyAlignment="1" applyProtection="1">
      <alignment horizontal="center"/>
      <protection/>
    </xf>
    <xf numFmtId="0" fontId="0" fillId="0" borderId="46" xfId="0" applyFill="1" applyBorder="1" applyAlignment="1" applyProtection="1">
      <alignment/>
      <protection/>
    </xf>
    <xf numFmtId="10" fontId="0" fillId="0" borderId="47" xfId="0" applyNumberFormat="1" applyFill="1" applyBorder="1" applyAlignment="1" applyProtection="1">
      <alignment horizontal="center"/>
      <protection/>
    </xf>
    <xf numFmtId="1" fontId="2" fillId="0" borderId="47" xfId="0" applyNumberFormat="1" applyFont="1" applyFill="1" applyBorder="1" applyAlignment="1" applyProtection="1">
      <alignment horizontal="right"/>
      <protection/>
    </xf>
    <xf numFmtId="2" fontId="0" fillId="0" borderId="47" xfId="0" applyNumberFormat="1" applyFill="1" applyBorder="1" applyAlignment="1" applyProtection="1">
      <alignment horizontal="center"/>
      <protection/>
    </xf>
    <xf numFmtId="2" fontId="0" fillId="0" borderId="0" xfId="0" applyNumberFormat="1" applyFont="1" applyBorder="1" applyAlignment="1" applyProtection="1">
      <alignment/>
      <protection/>
    </xf>
    <xf numFmtId="2" fontId="0" fillId="0" borderId="0" xfId="0" applyNumberFormat="1" applyBorder="1" applyAlignment="1" applyProtection="1">
      <alignment horizontal="right"/>
      <protection/>
    </xf>
    <xf numFmtId="2" fontId="2" fillId="0" borderId="17" xfId="0" applyNumberFormat="1" applyFont="1" applyFill="1" applyBorder="1" applyAlignment="1" applyProtection="1">
      <alignment/>
      <protection/>
    </xf>
    <xf numFmtId="0" fontId="2" fillId="0" borderId="18" xfId="0" applyFont="1" applyFill="1" applyBorder="1" applyAlignment="1" applyProtection="1">
      <alignment/>
      <protection/>
    </xf>
    <xf numFmtId="2" fontId="2" fillId="0" borderId="19" xfId="0" applyNumberFormat="1" applyFont="1" applyFill="1" applyBorder="1" applyAlignment="1" applyProtection="1">
      <alignment/>
      <protection/>
    </xf>
    <xf numFmtId="0" fontId="0" fillId="0" borderId="12" xfId="0" applyBorder="1" applyAlignment="1" applyProtection="1">
      <alignment/>
      <protection/>
    </xf>
    <xf numFmtId="0" fontId="23" fillId="0" borderId="17" xfId="0" applyFont="1" applyBorder="1" applyAlignment="1" applyProtection="1">
      <alignment horizontal="right"/>
      <protection/>
    </xf>
    <xf numFmtId="2" fontId="23" fillId="0" borderId="17" xfId="0" applyNumberFormat="1" applyFont="1" applyFill="1" applyBorder="1" applyAlignment="1" applyProtection="1">
      <alignment/>
      <protection/>
    </xf>
    <xf numFmtId="0" fontId="23" fillId="0" borderId="17" xfId="0" applyFont="1" applyFill="1" applyBorder="1" applyAlignment="1" applyProtection="1">
      <alignment/>
      <protection/>
    </xf>
    <xf numFmtId="0" fontId="0" fillId="0" borderId="17" xfId="0" applyFont="1" applyFill="1" applyBorder="1" applyAlignment="1" applyProtection="1">
      <alignment/>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0" fillId="0" borderId="11" xfId="0" applyFill="1" applyBorder="1" applyAlignment="1" applyProtection="1">
      <alignment horizontal="right"/>
      <protection/>
    </xf>
    <xf numFmtId="0" fontId="0" fillId="0" borderId="11" xfId="0" applyBorder="1" applyAlignment="1">
      <alignment horizontal="right"/>
    </xf>
    <xf numFmtId="0" fontId="0" fillId="0" borderId="11" xfId="0" applyBorder="1" applyAlignment="1" applyProtection="1">
      <alignment horizontal="right"/>
      <protection/>
    </xf>
    <xf numFmtId="0" fontId="23" fillId="0" borderId="0" xfId="0" applyFont="1" applyBorder="1" applyAlignment="1" applyProtection="1">
      <alignment horizontal="center"/>
      <protection/>
    </xf>
    <xf numFmtId="2" fontId="2" fillId="0" borderId="19" xfId="0" applyNumberFormat="1" applyFont="1" applyBorder="1" applyAlignment="1" applyProtection="1">
      <alignment/>
      <protection/>
    </xf>
    <xf numFmtId="2" fontId="2" fillId="0" borderId="19" xfId="0" applyNumberFormat="1" applyFont="1" applyBorder="1" applyAlignment="1" applyProtection="1">
      <alignment/>
      <protection/>
    </xf>
    <xf numFmtId="0" fontId="0" fillId="0" borderId="0" xfId="0" applyFont="1" applyBorder="1" applyAlignment="1" applyProtection="1">
      <alignment horizontal="center"/>
      <protection/>
    </xf>
    <xf numFmtId="175" fontId="0" fillId="0" borderId="0" xfId="0" applyNumberFormat="1" applyFill="1" applyBorder="1" applyAlignment="1" applyProtection="1">
      <alignment/>
      <protection/>
    </xf>
    <xf numFmtId="1" fontId="24" fillId="0" borderId="0" xfId="0" applyNumberFormat="1" applyFont="1" applyBorder="1" applyAlignment="1" applyProtection="1">
      <alignment horizontal="center"/>
      <protection/>
    </xf>
    <xf numFmtId="0" fontId="24" fillId="0" borderId="0" xfId="0" applyFont="1" applyBorder="1" applyAlignment="1" applyProtection="1">
      <alignment horizontal="right"/>
      <protection/>
    </xf>
    <xf numFmtId="0" fontId="2" fillId="0" borderId="0" xfId="0" applyFont="1" applyFill="1" applyAlignment="1" applyProtection="1">
      <alignment/>
      <protection/>
    </xf>
    <xf numFmtId="0" fontId="0" fillId="0" borderId="18" xfId="0" applyBorder="1" applyAlignment="1" applyProtection="1">
      <alignment/>
      <protection/>
    </xf>
    <xf numFmtId="1" fontId="23" fillId="0" borderId="0" xfId="0" applyNumberFormat="1" applyFont="1" applyFill="1" applyBorder="1" applyAlignment="1" applyProtection="1">
      <alignment horizontal="center"/>
      <protection/>
    </xf>
    <xf numFmtId="10" fontId="0" fillId="0" borderId="17" xfId="0" applyNumberFormat="1" applyFill="1" applyBorder="1" applyAlignment="1" applyProtection="1">
      <alignment horizontal="center"/>
      <protection/>
    </xf>
    <xf numFmtId="1" fontId="2" fillId="0" borderId="17" xfId="0" applyNumberFormat="1" applyFont="1" applyFill="1" applyBorder="1" applyAlignment="1" applyProtection="1">
      <alignment horizontal="right"/>
      <protection/>
    </xf>
    <xf numFmtId="1" fontId="0" fillId="0" borderId="17" xfId="0" applyNumberFormat="1" applyFill="1" applyBorder="1" applyAlignment="1" applyProtection="1">
      <alignment horizontal="center"/>
      <protection/>
    </xf>
    <xf numFmtId="0" fontId="0" fillId="0" borderId="17" xfId="0" applyFill="1" applyBorder="1" applyAlignment="1" applyProtection="1">
      <alignment/>
      <protection locked="0"/>
    </xf>
    <xf numFmtId="0" fontId="27" fillId="0" borderId="10" xfId="0" applyFont="1" applyFill="1" applyBorder="1" applyAlignment="1" applyProtection="1">
      <alignment horizontal="center"/>
      <protection/>
    </xf>
    <xf numFmtId="0" fontId="0" fillId="33" borderId="0" xfId="0" applyFont="1" applyFill="1" applyBorder="1" applyAlignment="1" applyProtection="1">
      <alignment horizontal="right"/>
      <protection locked="0"/>
    </xf>
    <xf numFmtId="3" fontId="24" fillId="0" borderId="0" xfId="0" applyNumberFormat="1" applyFont="1" applyBorder="1" applyAlignment="1" applyProtection="1">
      <alignment horizontal="center"/>
      <protection/>
    </xf>
    <xf numFmtId="3" fontId="24" fillId="0" borderId="0" xfId="0" applyNumberFormat="1" applyFont="1" applyBorder="1" applyAlignment="1" applyProtection="1">
      <alignment horizontal="center"/>
      <protection/>
    </xf>
    <xf numFmtId="3" fontId="24" fillId="0" borderId="26" xfId="0" applyNumberFormat="1" applyFont="1" applyBorder="1" applyAlignment="1" applyProtection="1">
      <alignment horizontal="center"/>
      <protection/>
    </xf>
    <xf numFmtId="0" fontId="0" fillId="0" borderId="13" xfId="0"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Border="1" applyAlignment="1">
      <alignment/>
    </xf>
    <xf numFmtId="0" fontId="0" fillId="0" borderId="0" xfId="0" applyBorder="1" applyAlignment="1">
      <alignment wrapText="1"/>
    </xf>
    <xf numFmtId="0" fontId="0" fillId="0" borderId="10" xfId="0" applyBorder="1" applyAlignment="1">
      <alignment/>
    </xf>
    <xf numFmtId="0" fontId="1" fillId="0" borderId="24" xfId="0" applyFont="1" applyFill="1" applyBorder="1" applyAlignment="1" applyProtection="1">
      <alignment/>
      <protection/>
    </xf>
    <xf numFmtId="0" fontId="0" fillId="0" borderId="48" xfId="0" applyBorder="1" applyAlignment="1" applyProtection="1">
      <alignment/>
      <protection locked="0"/>
    </xf>
    <xf numFmtId="2" fontId="0" fillId="0" borderId="0" xfId="0" applyNumberFormat="1" applyBorder="1" applyAlignment="1" applyProtection="1">
      <alignment/>
      <protection/>
    </xf>
    <xf numFmtId="0" fontId="24" fillId="0" borderId="22" xfId="0" applyFont="1" applyFill="1" applyBorder="1" applyAlignment="1" applyProtection="1">
      <alignment/>
      <protection/>
    </xf>
    <xf numFmtId="0" fontId="24" fillId="0" borderId="27" xfId="0" applyFont="1" applyFill="1" applyBorder="1" applyAlignment="1" applyProtection="1">
      <alignment/>
      <protection/>
    </xf>
    <xf numFmtId="0" fontId="2" fillId="0" borderId="10" xfId="0" applyFont="1" applyBorder="1" applyAlignment="1" applyProtection="1">
      <alignment horizontal="right" wrapText="1"/>
      <protection/>
    </xf>
    <xf numFmtId="0" fontId="10" fillId="0" borderId="0" xfId="0" applyFont="1" applyFill="1" applyAlignment="1" applyProtection="1">
      <alignment vertical="top" wrapText="1"/>
      <protection/>
    </xf>
    <xf numFmtId="0" fontId="0" fillId="0" borderId="13" xfId="0" applyBorder="1" applyAlignment="1" applyProtection="1">
      <alignment horizontal="right"/>
      <protection/>
    </xf>
    <xf numFmtId="0" fontId="0" fillId="0" borderId="48" xfId="0" applyBorder="1" applyAlignment="1">
      <alignment/>
    </xf>
    <xf numFmtId="0" fontId="0" fillId="0" borderId="0" xfId="0" applyFill="1" applyAlignment="1" applyProtection="1">
      <alignment/>
      <protection locked="0"/>
    </xf>
    <xf numFmtId="1" fontId="0" fillId="33" borderId="14" xfId="0" applyNumberFormat="1" applyFill="1" applyBorder="1" applyAlignment="1" applyProtection="1">
      <alignment horizontal="center"/>
      <protection locked="0"/>
    </xf>
    <xf numFmtId="1" fontId="0" fillId="0" borderId="0" xfId="0" applyNumberFormat="1" applyBorder="1" applyAlignment="1" applyProtection="1">
      <alignment/>
      <protection/>
    </xf>
    <xf numFmtId="0" fontId="10" fillId="33" borderId="14" xfId="0" applyFont="1" applyFill="1" applyBorder="1" applyAlignment="1" applyProtection="1">
      <alignment horizontal="center"/>
      <protection locked="0"/>
    </xf>
    <xf numFmtId="0" fontId="0" fillId="0" borderId="0" xfId="0" applyAlignment="1">
      <alignment vertical="center" wrapText="1"/>
    </xf>
    <xf numFmtId="2" fontId="1" fillId="0" borderId="24" xfId="0" applyNumberFormat="1" applyFont="1" applyFill="1" applyBorder="1" applyAlignment="1" applyProtection="1">
      <alignment horizontal="right" wrapText="1"/>
      <protection/>
    </xf>
    <xf numFmtId="0" fontId="0" fillId="0" borderId="24" xfId="0" applyBorder="1" applyAlignment="1" applyProtection="1">
      <alignment horizontal="right"/>
      <protection/>
    </xf>
    <xf numFmtId="3" fontId="1" fillId="0" borderId="24" xfId="0" applyNumberFormat="1" applyFont="1" applyFill="1" applyBorder="1" applyAlignment="1" applyProtection="1">
      <alignment horizontal="center" vertical="center"/>
      <protection/>
    </xf>
    <xf numFmtId="0" fontId="1" fillId="0" borderId="24" xfId="0" applyFont="1" applyFill="1" applyBorder="1" applyAlignment="1" applyProtection="1">
      <alignment vertical="center"/>
      <protection/>
    </xf>
    <xf numFmtId="0" fontId="1" fillId="0" borderId="14" xfId="0" applyFont="1" applyBorder="1" applyAlignment="1" applyProtection="1">
      <alignment horizontal="center"/>
      <protection locked="0"/>
    </xf>
    <xf numFmtId="0" fontId="0" fillId="0" borderId="14" xfId="0" applyBorder="1" applyAlignment="1" applyProtection="1">
      <alignment horizontal="center"/>
      <protection locked="0"/>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0" fillId="0" borderId="12" xfId="0" applyFill="1" applyBorder="1" applyAlignment="1" applyProtection="1">
      <alignment/>
      <protection/>
    </xf>
    <xf numFmtId="0" fontId="0" fillId="0" borderId="17" xfId="0" applyFill="1" applyBorder="1" applyAlignment="1" applyProtection="1">
      <alignment/>
      <protection/>
    </xf>
    <xf numFmtId="2" fontId="0" fillId="0" borderId="17" xfId="57" applyFill="1" applyBorder="1" applyAlignment="1" applyProtection="1">
      <alignment/>
      <protection/>
    </xf>
    <xf numFmtId="2" fontId="0" fillId="0" borderId="18" xfId="57" applyFill="1" applyBorder="1" applyAlignment="1" applyProtection="1">
      <alignment/>
      <protection/>
    </xf>
    <xf numFmtId="0" fontId="2" fillId="0" borderId="0" xfId="0" applyFont="1" applyBorder="1" applyAlignment="1" applyProtection="1">
      <alignment horizontal="right"/>
      <protection/>
    </xf>
    <xf numFmtId="0" fontId="9" fillId="0" borderId="0" xfId="0" applyFont="1" applyFill="1" applyBorder="1" applyAlignment="1" applyProtection="1">
      <alignment horizontal="center"/>
      <protection/>
    </xf>
    <xf numFmtId="0" fontId="0" fillId="0" borderId="37" xfId="0" applyBorder="1" applyAlignment="1" applyProtection="1">
      <alignment/>
      <protection/>
    </xf>
    <xf numFmtId="0" fontId="0" fillId="0" borderId="35" xfId="0" applyBorder="1" applyAlignment="1" applyProtection="1">
      <alignment/>
      <protection/>
    </xf>
    <xf numFmtId="0" fontId="0" fillId="0" borderId="22" xfId="0" applyBorder="1" applyAlignment="1" applyProtection="1">
      <alignment vertical="center"/>
      <protection/>
    </xf>
    <xf numFmtId="0" fontId="1" fillId="0" borderId="0" xfId="0" applyFont="1" applyAlignment="1" applyProtection="1">
      <alignment/>
      <protection locked="0"/>
    </xf>
    <xf numFmtId="0" fontId="0" fillId="33" borderId="49"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33" borderId="26" xfId="0" applyFill="1" applyBorder="1" applyAlignment="1" applyProtection="1">
      <alignment horizontal="center"/>
      <protection locked="0"/>
    </xf>
    <xf numFmtId="0" fontId="7" fillId="0" borderId="50" xfId="0" applyFont="1" applyBorder="1" applyAlignment="1" applyProtection="1">
      <alignment/>
      <protection/>
    </xf>
    <xf numFmtId="0" fontId="1" fillId="0" borderId="0" xfId="0" applyFont="1" applyFill="1" applyAlignment="1" applyProtection="1">
      <alignment/>
      <protection locked="0"/>
    </xf>
    <xf numFmtId="0" fontId="14"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1" fillId="0" borderId="0" xfId="0" applyFont="1" applyBorder="1" applyAlignment="1" applyProtection="1">
      <alignment horizontal="center"/>
      <protection locked="0"/>
    </xf>
    <xf numFmtId="177" fontId="1" fillId="0" borderId="0" xfId="57" applyNumberFormat="1" applyFont="1" applyFill="1" applyAlignment="1" applyProtection="1">
      <alignment horizontal="center"/>
      <protection locked="0"/>
    </xf>
    <xf numFmtId="177" fontId="0" fillId="0" borderId="0" xfId="0" applyNumberFormat="1" applyFill="1" applyAlignment="1" applyProtection="1">
      <alignment horizontal="right"/>
      <protection/>
    </xf>
    <xf numFmtId="0" fontId="0" fillId="0" borderId="40" xfId="0" applyFill="1" applyBorder="1" applyAlignment="1" applyProtection="1">
      <alignment horizontal="right"/>
      <protection locked="0"/>
    </xf>
    <xf numFmtId="1" fontId="1" fillId="0" borderId="33" xfId="57" applyNumberFormat="1" applyFont="1" applyFill="1" applyBorder="1" applyAlignment="1" applyProtection="1">
      <alignment horizontal="center"/>
      <protection/>
    </xf>
    <xf numFmtId="3" fontId="0" fillId="33" borderId="26" xfId="0" applyNumberFormat="1" applyFill="1" applyBorder="1" applyAlignment="1" applyProtection="1">
      <alignment horizontal="center"/>
      <protection locked="0"/>
    </xf>
    <xf numFmtId="3" fontId="0" fillId="33" borderId="28" xfId="0" applyNumberFormat="1" applyFill="1" applyBorder="1" applyAlignment="1" applyProtection="1">
      <alignment horizontal="center"/>
      <protection locked="0"/>
    </xf>
    <xf numFmtId="2" fontId="1" fillId="0" borderId="24" xfId="0" applyNumberFormat="1" applyFont="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21" fillId="0" borderId="0" xfId="0" applyFont="1" applyFill="1" applyAlignment="1" applyProtection="1">
      <alignment/>
      <protection/>
    </xf>
    <xf numFmtId="0" fontId="0" fillId="33" borderId="28" xfId="0" applyFill="1" applyBorder="1" applyAlignment="1" applyProtection="1">
      <alignment horizontal="center" vertical="center"/>
      <protection locked="0"/>
    </xf>
    <xf numFmtId="0" fontId="0" fillId="0" borderId="0" xfId="0" applyAlignment="1">
      <alignment horizontal="center" wrapText="1"/>
    </xf>
    <xf numFmtId="0" fontId="0" fillId="0" borderId="0" xfId="0" applyFill="1" applyAlignment="1" applyProtection="1">
      <alignment/>
      <protection/>
    </xf>
    <xf numFmtId="1" fontId="0" fillId="0" borderId="0" xfId="57" applyNumberFormat="1" applyFont="1" applyFill="1" applyAlignment="1" applyProtection="1">
      <alignment horizontal="right"/>
      <protection locked="0"/>
    </xf>
    <xf numFmtId="0" fontId="0" fillId="0" borderId="0" xfId="0" applyBorder="1" applyAlignment="1" applyProtection="1">
      <alignment horizontal="left"/>
      <protection/>
    </xf>
    <xf numFmtId="0" fontId="1" fillId="0" borderId="0" xfId="0" applyFont="1" applyFill="1" applyBorder="1" applyAlignment="1" applyProtection="1">
      <alignment horizontal="right"/>
      <protection locked="0"/>
    </xf>
    <xf numFmtId="0" fontId="1" fillId="0" borderId="40" xfId="0" applyFont="1" applyFill="1" applyBorder="1" applyAlignment="1" applyProtection="1">
      <alignment horizontal="right"/>
      <protection locked="0"/>
    </xf>
    <xf numFmtId="0" fontId="1" fillId="0" borderId="33" xfId="0" applyFont="1" applyFill="1" applyBorder="1" applyAlignment="1" applyProtection="1">
      <alignment horizontal="left"/>
      <protection locked="0"/>
    </xf>
    <xf numFmtId="1" fontId="0" fillId="0" borderId="0" xfId="57" applyNumberFormat="1" applyFont="1" applyFill="1" applyAlignment="1" applyProtection="1">
      <alignment horizontal="center"/>
      <protection locked="0"/>
    </xf>
    <xf numFmtId="0" fontId="0" fillId="0" borderId="28" xfId="0" applyFill="1" applyBorder="1" applyAlignment="1" applyProtection="1">
      <alignment horizontal="center" vertical="top"/>
      <protection/>
    </xf>
    <xf numFmtId="3" fontId="0" fillId="0" borderId="28" xfId="0" applyNumberFormat="1" applyFill="1" applyBorder="1" applyAlignment="1" applyProtection="1">
      <alignment horizontal="center"/>
      <protection/>
    </xf>
    <xf numFmtId="0" fontId="0" fillId="0" borderId="23" xfId="0" applyBorder="1" applyAlignment="1" applyProtection="1">
      <alignment/>
      <protection/>
    </xf>
    <xf numFmtId="2" fontId="0" fillId="0" borderId="0" xfId="57" applyFont="1" applyFill="1" applyAlignment="1" applyProtection="1">
      <alignment horizontal="right"/>
      <protection/>
    </xf>
    <xf numFmtId="0" fontId="1" fillId="0" borderId="0" xfId="0" applyFont="1" applyBorder="1" applyAlignment="1" applyProtection="1">
      <alignment vertical="top"/>
      <protection/>
    </xf>
    <xf numFmtId="0" fontId="1" fillId="0" borderId="17" xfId="0" applyFont="1" applyBorder="1" applyAlignment="1" applyProtection="1">
      <alignment/>
      <protection/>
    </xf>
    <xf numFmtId="0" fontId="1" fillId="0" borderId="12" xfId="0" applyFont="1" applyBorder="1" applyAlignment="1" applyProtection="1">
      <alignment horizontal="right" wrapText="1"/>
      <protection/>
    </xf>
    <xf numFmtId="3" fontId="1" fillId="0" borderId="17" xfId="0" applyNumberFormat="1" applyFont="1" applyBorder="1" applyAlignment="1" applyProtection="1">
      <alignment horizontal="center"/>
      <protection/>
    </xf>
    <xf numFmtId="2" fontId="2" fillId="0" borderId="51" xfId="0" applyNumberFormat="1" applyFont="1" applyFill="1" applyBorder="1" applyAlignment="1" applyProtection="1">
      <alignment horizontal="center"/>
      <protection/>
    </xf>
    <xf numFmtId="177" fontId="40" fillId="0" borderId="51" xfId="0" applyNumberFormat="1" applyFont="1" applyBorder="1" applyAlignment="1" applyProtection="1">
      <alignment horizontal="center" vertical="top" wrapText="1"/>
      <protection/>
    </xf>
    <xf numFmtId="0" fontId="10" fillId="0" borderId="0" xfId="0" applyFont="1" applyFill="1" applyBorder="1" applyAlignment="1" applyProtection="1">
      <alignment horizontal="right"/>
      <protection/>
    </xf>
    <xf numFmtId="1" fontId="10" fillId="0" borderId="0" xfId="0" applyNumberFormat="1" applyFont="1" applyFill="1" applyBorder="1" applyAlignment="1" applyProtection="1">
      <alignment horizontal="center"/>
      <protection/>
    </xf>
    <xf numFmtId="1" fontId="1" fillId="0" borderId="52" xfId="0" applyNumberFormat="1" applyFont="1" applyFill="1" applyBorder="1" applyAlignment="1" applyProtection="1">
      <alignment horizontal="center"/>
      <protection/>
    </xf>
    <xf numFmtId="10" fontId="0" fillId="0" borderId="0" xfId="0" applyNumberFormat="1" applyFill="1" applyBorder="1" applyAlignment="1" applyProtection="1">
      <alignment/>
      <protection/>
    </xf>
    <xf numFmtId="0" fontId="0" fillId="0" borderId="0" xfId="0" applyFill="1" applyAlignment="1" applyProtection="1">
      <alignment horizontal="right" vertical="center"/>
      <protection/>
    </xf>
    <xf numFmtId="0" fontId="0" fillId="0" borderId="0" xfId="0" applyFill="1" applyAlignment="1" applyProtection="1">
      <alignment vertical="center"/>
      <protection/>
    </xf>
    <xf numFmtId="0" fontId="0" fillId="0" borderId="48" xfId="0" applyBorder="1" applyAlignment="1" applyProtection="1">
      <alignment/>
      <protection/>
    </xf>
    <xf numFmtId="0" fontId="0" fillId="0" borderId="35" xfId="0" applyBorder="1" applyAlignment="1" applyProtection="1">
      <alignment horizontal="right"/>
      <protection/>
    </xf>
    <xf numFmtId="0" fontId="0" fillId="0" borderId="38" xfId="0" applyBorder="1" applyAlignment="1" applyProtection="1">
      <alignment/>
      <protection/>
    </xf>
    <xf numFmtId="0" fontId="0" fillId="0" borderId="53" xfId="0" applyBorder="1" applyAlignment="1" applyProtection="1">
      <alignment/>
      <protection/>
    </xf>
    <xf numFmtId="0" fontId="0" fillId="0" borderId="24" xfId="0" applyBorder="1" applyAlignment="1" applyProtection="1">
      <alignment/>
      <protection/>
    </xf>
    <xf numFmtId="0" fontId="1" fillId="0" borderId="24" xfId="0" applyFont="1" applyBorder="1" applyAlignment="1" applyProtection="1">
      <alignment vertical="center"/>
      <protection/>
    </xf>
    <xf numFmtId="0" fontId="1" fillId="0" borderId="24" xfId="0" applyFont="1" applyBorder="1" applyAlignment="1" applyProtection="1">
      <alignment horizontal="right" vertical="center"/>
      <protection/>
    </xf>
    <xf numFmtId="0" fontId="0" fillId="0" borderId="54" xfId="0" applyBorder="1" applyAlignment="1" applyProtection="1">
      <alignment/>
      <protection/>
    </xf>
    <xf numFmtId="0" fontId="0" fillId="0" borderId="54" xfId="0" applyBorder="1" applyAlignment="1" applyProtection="1">
      <alignment horizontal="right"/>
      <protection/>
    </xf>
    <xf numFmtId="0" fontId="0" fillId="0" borderId="55" xfId="0" applyBorder="1" applyAlignment="1" applyProtection="1">
      <alignment/>
      <protection/>
    </xf>
    <xf numFmtId="0" fontId="0" fillId="0" borderId="25" xfId="0" applyFill="1" applyBorder="1" applyAlignment="1" applyProtection="1">
      <alignment horizontal="right" wrapText="1"/>
      <protection/>
    </xf>
    <xf numFmtId="0" fontId="0" fillId="0" borderId="56" xfId="0" applyBorder="1" applyAlignment="1" applyProtection="1">
      <alignment/>
      <protection locked="0"/>
    </xf>
    <xf numFmtId="0" fontId="4" fillId="0" borderId="57" xfId="0" applyFont="1" applyBorder="1" applyAlignment="1" applyProtection="1">
      <alignment horizontal="center"/>
      <protection/>
    </xf>
    <xf numFmtId="0" fontId="0" fillId="0" borderId="57" xfId="0" applyBorder="1" applyAlignment="1" applyProtection="1">
      <alignment/>
      <protection locked="0"/>
    </xf>
    <xf numFmtId="0" fontId="0" fillId="0" borderId="58" xfId="0" applyBorder="1" applyAlignment="1" applyProtection="1">
      <alignment/>
      <protection locked="0"/>
    </xf>
    <xf numFmtId="0" fontId="0" fillId="0" borderId="59" xfId="0" applyBorder="1" applyAlignment="1" applyProtection="1">
      <alignment/>
      <protection/>
    </xf>
    <xf numFmtId="10" fontId="0" fillId="0" borderId="0" xfId="0" applyNumberFormat="1" applyFill="1" applyBorder="1" applyAlignment="1" applyProtection="1">
      <alignment/>
      <protection locked="0"/>
    </xf>
    <xf numFmtId="10" fontId="0" fillId="0" borderId="0" xfId="0" applyNumberFormat="1" applyFill="1" applyAlignment="1" applyProtection="1">
      <alignment/>
      <protection/>
    </xf>
    <xf numFmtId="0" fontId="0" fillId="33" borderId="33" xfId="0" applyFont="1" applyFill="1" applyBorder="1" applyAlignment="1" applyProtection="1">
      <alignment horizontal="center"/>
      <protection locked="0"/>
    </xf>
    <xf numFmtId="0" fontId="0" fillId="0" borderId="45" xfId="0" applyFill="1" applyBorder="1" applyAlignment="1" applyProtection="1">
      <alignment horizontal="center"/>
      <protection/>
    </xf>
    <xf numFmtId="0" fontId="0" fillId="0" borderId="18" xfId="0" applyFill="1" applyBorder="1" applyAlignment="1" applyProtection="1">
      <alignment horizontal="center"/>
      <protection/>
    </xf>
    <xf numFmtId="1" fontId="0" fillId="0" borderId="46" xfId="0" applyNumberFormat="1" applyFill="1" applyBorder="1" applyAlignment="1" applyProtection="1">
      <alignment horizontal="center"/>
      <protection/>
    </xf>
    <xf numFmtId="0" fontId="0" fillId="0" borderId="0" xfId="0" applyFill="1" applyAlignment="1" applyProtection="1">
      <alignment wrapText="1"/>
      <protection locked="0"/>
    </xf>
    <xf numFmtId="0" fontId="0" fillId="0" borderId="0" xfId="0" applyFont="1" applyFill="1" applyBorder="1" applyAlignment="1" applyProtection="1">
      <alignment horizontal="center" vertical="center"/>
      <protection locked="0"/>
    </xf>
    <xf numFmtId="3" fontId="1" fillId="0" borderId="0" xfId="0" applyNumberFormat="1" applyFont="1" applyFill="1" applyBorder="1" applyAlignment="1" applyProtection="1">
      <alignment horizontal="center"/>
      <protection/>
    </xf>
    <xf numFmtId="0" fontId="1" fillId="0" borderId="60" xfId="0" applyFont="1" applyBorder="1" applyAlignment="1" applyProtection="1">
      <alignment horizontal="center" wrapText="1"/>
      <protection/>
    </xf>
    <xf numFmtId="0" fontId="1" fillId="0" borderId="0" xfId="0" applyFont="1" applyBorder="1" applyAlignment="1">
      <alignment horizontal="center" wrapText="1"/>
    </xf>
    <xf numFmtId="3" fontId="0" fillId="0" borderId="0" xfId="0" applyNumberFormat="1" applyBorder="1" applyAlignment="1" applyProtection="1">
      <alignment horizontal="center"/>
      <protection/>
    </xf>
    <xf numFmtId="0" fontId="31" fillId="0" borderId="11" xfId="0" applyFont="1" applyBorder="1" applyAlignment="1" applyProtection="1">
      <alignment horizontal="left"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right" vertical="center" wrapText="1"/>
      <protection/>
    </xf>
    <xf numFmtId="10" fontId="0" fillId="0" borderId="0" xfId="0" applyNumberFormat="1" applyFill="1" applyBorder="1" applyAlignment="1" applyProtection="1">
      <alignment horizontal="left" vertical="center"/>
      <protection/>
    </xf>
    <xf numFmtId="0" fontId="31" fillId="0" borderId="0" xfId="0" applyFont="1" applyBorder="1" applyAlignment="1" applyProtection="1">
      <alignment horizontal="left" wrapText="1"/>
      <protection/>
    </xf>
    <xf numFmtId="0" fontId="0" fillId="0" borderId="0" xfId="0" applyBorder="1" applyAlignment="1">
      <alignment vertical="center" wrapText="1"/>
    </xf>
    <xf numFmtId="0" fontId="30" fillId="0" borderId="0" xfId="0" applyFont="1" applyFill="1" applyAlignment="1" applyProtection="1">
      <alignment vertical="top"/>
      <protection/>
    </xf>
    <xf numFmtId="0" fontId="30" fillId="0" borderId="0" xfId="0" applyFont="1" applyFill="1" applyAlignment="1" applyProtection="1">
      <alignment horizontal="right" vertical="center"/>
      <protection/>
    </xf>
    <xf numFmtId="0" fontId="0" fillId="0" borderId="0" xfId="0" applyNumberFormat="1" applyFont="1" applyFill="1" applyBorder="1" applyAlignment="1" applyProtection="1">
      <alignment horizontal="center" vertical="center"/>
      <protection locked="0"/>
    </xf>
    <xf numFmtId="10" fontId="0" fillId="0" borderId="22" xfId="0" applyNumberForma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51" xfId="0" applyFill="1" applyBorder="1" applyAlignment="1" applyProtection="1">
      <alignment horizontal="left"/>
      <protection/>
    </xf>
    <xf numFmtId="0" fontId="0" fillId="0" borderId="0" xfId="0" applyBorder="1" applyAlignment="1">
      <alignment horizontal="center" wrapText="1"/>
    </xf>
    <xf numFmtId="0" fontId="0" fillId="0" borderId="48" xfId="0" applyFill="1" applyBorder="1" applyAlignment="1" applyProtection="1">
      <alignment/>
      <protection locked="0"/>
    </xf>
    <xf numFmtId="0" fontId="0" fillId="0" borderId="61" xfId="0" applyFill="1" applyBorder="1" applyAlignment="1" applyProtection="1">
      <alignment/>
      <protection locked="0"/>
    </xf>
    <xf numFmtId="0" fontId="0" fillId="0" borderId="62" xfId="0" applyFill="1"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0" fillId="0" borderId="18" xfId="0" applyFill="1" applyBorder="1" applyAlignment="1" applyProtection="1">
      <alignment/>
      <protection locked="0"/>
    </xf>
    <xf numFmtId="1" fontId="0" fillId="0" borderId="11" xfId="0" applyNumberFormat="1" applyFill="1" applyBorder="1" applyAlignment="1" applyProtection="1">
      <alignment/>
      <protection locked="0"/>
    </xf>
    <xf numFmtId="0" fontId="8" fillId="0" borderId="0" xfId="0" applyFont="1" applyFill="1" applyBorder="1" applyAlignment="1" applyProtection="1">
      <alignment horizontal="center" wrapText="1"/>
      <protection/>
    </xf>
    <xf numFmtId="0" fontId="0" fillId="0" borderId="35" xfId="0" applyBorder="1" applyAlignment="1" applyProtection="1">
      <alignment/>
      <protection/>
    </xf>
    <xf numFmtId="0" fontId="1" fillId="0" borderId="63" xfId="0" applyFont="1" applyBorder="1" applyAlignment="1" applyProtection="1">
      <alignment horizontal="center" wrapText="1"/>
      <protection/>
    </xf>
    <xf numFmtId="0" fontId="0" fillId="0" borderId="48" xfId="0" applyBorder="1" applyAlignment="1" applyProtection="1">
      <alignment horizontal="center"/>
      <protection locked="0"/>
    </xf>
    <xf numFmtId="0" fontId="1" fillId="0" borderId="61" xfId="0" applyFont="1" applyBorder="1" applyAlignment="1" applyProtection="1">
      <alignment horizontal="center"/>
      <protection/>
    </xf>
    <xf numFmtId="0" fontId="1" fillId="0" borderId="61" xfId="0" applyFont="1" applyBorder="1" applyAlignment="1" applyProtection="1">
      <alignment horizontal="center" wrapText="1"/>
      <protection/>
    </xf>
    <xf numFmtId="0" fontId="1" fillId="0" borderId="64" xfId="0" applyFont="1" applyBorder="1" applyAlignment="1" applyProtection="1">
      <alignment horizontal="center"/>
      <protection locked="0"/>
    </xf>
    <xf numFmtId="0" fontId="1" fillId="0" borderId="65" xfId="0" applyFont="1" applyBorder="1" applyAlignment="1" applyProtection="1">
      <alignment horizontal="center"/>
      <protection locked="0"/>
    </xf>
    <xf numFmtId="0" fontId="0" fillId="33" borderId="66"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33" borderId="41" xfId="0" applyFill="1" applyBorder="1" applyAlignment="1" applyProtection="1">
      <alignment horizontal="center" shrinkToFit="1"/>
      <protection locked="0"/>
    </xf>
    <xf numFmtId="10" fontId="1" fillId="0" borderId="14" xfId="0" applyNumberFormat="1" applyFont="1" applyFill="1" applyBorder="1" applyAlignment="1">
      <alignment horizontal="center"/>
    </xf>
    <xf numFmtId="0" fontId="0" fillId="0" borderId="35" xfId="0" applyFill="1" applyBorder="1" applyAlignment="1" applyProtection="1">
      <alignment/>
      <protection/>
    </xf>
    <xf numFmtId="0" fontId="0" fillId="0" borderId="35" xfId="0" applyFill="1" applyBorder="1" applyAlignment="1" applyProtection="1">
      <alignment/>
      <protection/>
    </xf>
    <xf numFmtId="10" fontId="0" fillId="0" borderId="35" xfId="0" applyNumberFormat="1" applyFill="1" applyBorder="1" applyAlignment="1" applyProtection="1">
      <alignment horizontal="center"/>
      <protection/>
    </xf>
    <xf numFmtId="0" fontId="43" fillId="0" borderId="0" xfId="0" applyFont="1" applyFill="1" applyBorder="1" applyAlignment="1" applyProtection="1">
      <alignment vertical="center" wrapText="1"/>
      <protection locked="0"/>
    </xf>
    <xf numFmtId="0" fontId="0" fillId="0" borderId="40" xfId="0" applyFill="1" applyBorder="1" applyAlignment="1" applyProtection="1">
      <alignment horizontal="right"/>
      <protection/>
    </xf>
    <xf numFmtId="0" fontId="0" fillId="0" borderId="28" xfId="0" applyBorder="1" applyAlignment="1" applyProtection="1">
      <alignment horizontal="right"/>
      <protection/>
    </xf>
    <xf numFmtId="0" fontId="31" fillId="0" borderId="0" xfId="0" applyFont="1" applyFill="1" applyBorder="1" applyAlignment="1">
      <alignment vertical="top" wrapText="1"/>
    </xf>
    <xf numFmtId="0" fontId="31" fillId="0" borderId="11" xfId="0" applyFont="1" applyFill="1" applyBorder="1" applyAlignment="1">
      <alignment vertical="top" wrapText="1"/>
    </xf>
    <xf numFmtId="0" fontId="31" fillId="0" borderId="0" xfId="0" applyFont="1" applyBorder="1" applyAlignment="1" applyProtection="1">
      <alignment horizontal="center" vertical="center" wrapText="1"/>
      <protection/>
    </xf>
    <xf numFmtId="0" fontId="18" fillId="0" borderId="0" xfId="0" applyFont="1" applyFill="1" applyBorder="1" applyAlignment="1">
      <alignment horizontal="left" vertical="top" wrapText="1"/>
    </xf>
    <xf numFmtId="0" fontId="3" fillId="0" borderId="0" xfId="0" applyFont="1" applyFill="1" applyBorder="1" applyAlignment="1" applyProtection="1">
      <alignment vertical="center"/>
      <protection/>
    </xf>
    <xf numFmtId="0" fontId="2" fillId="35" borderId="0" xfId="0" applyFont="1" applyFill="1" applyBorder="1" applyAlignment="1" applyProtection="1">
      <alignment horizontal="center" vertical="center"/>
      <protection/>
    </xf>
    <xf numFmtId="0" fontId="31" fillId="0" borderId="0"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2" fontId="46" fillId="0" borderId="14" xfId="0" applyNumberFormat="1" applyFont="1" applyBorder="1" applyAlignment="1" applyProtection="1">
      <alignment horizontal="center"/>
      <protection locked="0"/>
    </xf>
    <xf numFmtId="0" fontId="0" fillId="0" borderId="61" xfId="0" applyBorder="1" applyAlignment="1" applyProtection="1">
      <alignment horizontal="center"/>
      <protection/>
    </xf>
    <xf numFmtId="1" fontId="0" fillId="0" borderId="61" xfId="0" applyNumberFormat="1" applyBorder="1" applyAlignment="1" applyProtection="1">
      <alignment/>
      <protection/>
    </xf>
    <xf numFmtId="0" fontId="0" fillId="0" borderId="62" xfId="0" applyBorder="1" applyAlignment="1" applyProtection="1">
      <alignment horizontal="center"/>
      <protection/>
    </xf>
    <xf numFmtId="0" fontId="35" fillId="0" borderId="0" xfId="0" applyFont="1" applyBorder="1" applyAlignment="1" applyProtection="1">
      <alignment horizontal="left" vertical="top"/>
      <protection/>
    </xf>
    <xf numFmtId="0" fontId="18" fillId="0" borderId="0" xfId="0" applyFont="1" applyFill="1" applyBorder="1" applyAlignment="1" applyProtection="1">
      <alignment/>
      <protection/>
    </xf>
    <xf numFmtId="0" fontId="1" fillId="0" borderId="24" xfId="0" applyFont="1" applyFill="1" applyBorder="1" applyAlignment="1" applyProtection="1">
      <alignment horizontal="right"/>
      <protection/>
    </xf>
    <xf numFmtId="0" fontId="21" fillId="0" borderId="0" xfId="0" applyFont="1" applyBorder="1" applyAlignment="1">
      <alignment horizontal="center" vertical="center"/>
    </xf>
    <xf numFmtId="0" fontId="0" fillId="0" borderId="67" xfId="0" applyBorder="1" applyAlignment="1" applyProtection="1">
      <alignment/>
      <protection locked="0"/>
    </xf>
    <xf numFmtId="1" fontId="46" fillId="0" borderId="68" xfId="0" applyNumberFormat="1" applyFont="1" applyFill="1" applyBorder="1" applyAlignment="1" applyProtection="1">
      <alignment horizontal="center"/>
      <protection locked="0"/>
    </xf>
    <xf numFmtId="0" fontId="0" fillId="0" borderId="10" xfId="0" applyFont="1" applyFill="1" applyBorder="1" applyAlignment="1" applyProtection="1">
      <alignment horizontal="left"/>
      <protection/>
    </xf>
    <xf numFmtId="0" fontId="0" fillId="0" borderId="10" xfId="0" applyFont="1" applyFill="1" applyBorder="1" applyAlignment="1" applyProtection="1">
      <alignment horizontal="center"/>
      <protection/>
    </xf>
    <xf numFmtId="1" fontId="0" fillId="0" borderId="0" xfId="0" applyNumberFormat="1" applyFill="1" applyAlignment="1" applyProtection="1">
      <alignment/>
      <protection locked="0"/>
    </xf>
    <xf numFmtId="0" fontId="0" fillId="0" borderId="14" xfId="0" applyNumberFormat="1" applyFill="1" applyBorder="1" applyAlignment="1">
      <alignment horizontal="center"/>
    </xf>
    <xf numFmtId="0" fontId="0" fillId="0" borderId="0" xfId="0" applyFill="1" applyBorder="1" applyAlignment="1" applyProtection="1">
      <alignment horizontal="center" shrinkToFit="1"/>
      <protection/>
    </xf>
    <xf numFmtId="0" fontId="21" fillId="0" borderId="0" xfId="0" applyFont="1" applyFill="1" applyBorder="1" applyAlignment="1">
      <alignment horizontal="left"/>
    </xf>
    <xf numFmtId="0" fontId="0" fillId="0" borderId="47" xfId="0" applyFill="1" applyBorder="1" applyAlignment="1" applyProtection="1">
      <alignment/>
      <protection/>
    </xf>
    <xf numFmtId="0" fontId="0" fillId="0" borderId="38" xfId="0" applyFill="1" applyBorder="1" applyAlignment="1">
      <alignment/>
    </xf>
    <xf numFmtId="0" fontId="0" fillId="0" borderId="36" xfId="0" applyFill="1" applyBorder="1" applyAlignment="1">
      <alignment/>
    </xf>
    <xf numFmtId="0" fontId="0" fillId="0" borderId="27" xfId="0" applyFill="1" applyBorder="1" applyAlignment="1">
      <alignment/>
    </xf>
    <xf numFmtId="0" fontId="0" fillId="0" borderId="15" xfId="0" applyFill="1" applyBorder="1" applyAlignment="1">
      <alignment/>
    </xf>
    <xf numFmtId="0" fontId="0" fillId="0" borderId="45" xfId="0" applyFill="1" applyBorder="1" applyAlignment="1" applyProtection="1">
      <alignment horizontal="left"/>
      <protection/>
    </xf>
    <xf numFmtId="0" fontId="0" fillId="0" borderId="18" xfId="0"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32" fillId="0" borderId="0" xfId="0" applyFont="1" applyFill="1" applyBorder="1" applyAlignment="1" applyProtection="1">
      <alignment vertical="top" wrapText="1"/>
      <protection/>
    </xf>
    <xf numFmtId="0" fontId="32" fillId="0" borderId="11" xfId="0" applyFont="1" applyFill="1" applyBorder="1" applyAlignment="1" applyProtection="1">
      <alignment vertical="top" wrapText="1"/>
      <protection/>
    </xf>
    <xf numFmtId="3" fontId="1" fillId="0" borderId="61" xfId="0" applyNumberFormat="1" applyFont="1" applyFill="1" applyBorder="1" applyAlignment="1" applyProtection="1">
      <alignment horizontal="center"/>
      <protection/>
    </xf>
    <xf numFmtId="0" fontId="1" fillId="0" borderId="62" xfId="0" applyFont="1" applyFill="1" applyBorder="1" applyAlignment="1" applyProtection="1">
      <alignment/>
      <protection/>
    </xf>
    <xf numFmtId="0" fontId="1" fillId="0" borderId="11" xfId="0" applyFont="1" applyFill="1" applyBorder="1" applyAlignment="1" applyProtection="1">
      <alignment vertical="center" wrapText="1"/>
      <protection/>
    </xf>
    <xf numFmtId="0" fontId="32" fillId="0" borderId="10" xfId="0" applyFont="1" applyBorder="1" applyAlignment="1" applyProtection="1">
      <alignment vertical="center" wrapText="1"/>
      <protection/>
    </xf>
    <xf numFmtId="0" fontId="32" fillId="0" borderId="11" xfId="0" applyFont="1" applyBorder="1" applyAlignment="1" applyProtection="1">
      <alignment vertical="center" wrapText="1"/>
      <protection/>
    </xf>
    <xf numFmtId="0" fontId="1" fillId="0" borderId="51" xfId="0" applyFont="1" applyFill="1" applyBorder="1" applyAlignment="1" applyProtection="1">
      <alignment horizontal="center" vertical="center" wrapText="1"/>
      <protection/>
    </xf>
    <xf numFmtId="10" fontId="0" fillId="0" borderId="14" xfId="0" applyNumberFormat="1" applyFont="1" applyFill="1" applyBorder="1" applyAlignment="1" applyProtection="1">
      <alignment horizontal="center"/>
      <protection/>
    </xf>
    <xf numFmtId="0" fontId="0" fillId="0" borderId="69" xfId="0" applyFont="1" applyBorder="1" applyAlignment="1" applyProtection="1">
      <alignment vertical="center"/>
      <protection/>
    </xf>
    <xf numFmtId="165" fontId="1" fillId="0" borderId="70" xfId="0" applyNumberFormat="1" applyFont="1" applyFill="1" applyBorder="1" applyAlignment="1" applyProtection="1">
      <alignment horizontal="center"/>
      <protection locked="0"/>
    </xf>
    <xf numFmtId="165" fontId="1" fillId="0" borderId="40" xfId="0" applyNumberFormat="1" applyFont="1" applyFill="1" applyBorder="1" applyAlignment="1" applyProtection="1">
      <alignment horizontal="center"/>
      <protection locked="0"/>
    </xf>
    <xf numFmtId="0" fontId="1" fillId="0" borderId="68" xfId="0" applyFont="1" applyFill="1" applyBorder="1" applyAlignment="1" applyProtection="1">
      <alignment horizontal="center"/>
      <protection locked="0"/>
    </xf>
    <xf numFmtId="0" fontId="1" fillId="0" borderId="71" xfId="0" applyFont="1" applyFill="1" applyBorder="1" applyAlignment="1" applyProtection="1">
      <alignment horizontal="center"/>
      <protection locked="0"/>
    </xf>
    <xf numFmtId="165" fontId="1" fillId="33" borderId="72" xfId="0" applyNumberFormat="1" applyFont="1" applyFill="1" applyBorder="1" applyAlignment="1" applyProtection="1">
      <alignment horizontal="center" vertical="center" wrapText="1"/>
      <protection locked="0"/>
    </xf>
    <xf numFmtId="165" fontId="1" fillId="33" borderId="73" xfId="0" applyNumberFormat="1" applyFont="1" applyFill="1" applyBorder="1" applyAlignment="1" applyProtection="1">
      <alignment horizontal="center" vertical="center" wrapText="1"/>
      <protection locked="0"/>
    </xf>
    <xf numFmtId="165" fontId="0" fillId="33" borderId="74" xfId="0" applyNumberFormat="1" applyFont="1" applyFill="1" applyBorder="1" applyAlignment="1" applyProtection="1">
      <alignment horizontal="center" vertical="center" wrapText="1"/>
      <protection locked="0"/>
    </xf>
    <xf numFmtId="10" fontId="0" fillId="0" borderId="0" xfId="0" applyNumberFormat="1" applyFont="1" applyBorder="1" applyAlignment="1" applyProtection="1">
      <alignment horizontal="center"/>
      <protection/>
    </xf>
    <xf numFmtId="0" fontId="43" fillId="0" borderId="0" xfId="0" applyFont="1" applyFill="1" applyBorder="1" applyAlignment="1" applyProtection="1">
      <alignment vertical="center" wrapText="1"/>
      <protection/>
    </xf>
    <xf numFmtId="0" fontId="43" fillId="0" borderId="11" xfId="0" applyFont="1" applyFill="1" applyBorder="1" applyAlignment="1" applyProtection="1">
      <alignment vertical="center" wrapText="1"/>
      <protection/>
    </xf>
    <xf numFmtId="2" fontId="46" fillId="0" borderId="41" xfId="0" applyNumberFormat="1" applyFont="1" applyBorder="1" applyAlignment="1" applyProtection="1">
      <alignment horizontal="center"/>
      <protection locked="0"/>
    </xf>
    <xf numFmtId="1" fontId="46" fillId="0" borderId="71"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wrapText="1"/>
      <protection locked="0"/>
    </xf>
    <xf numFmtId="0" fontId="0" fillId="0" borderId="0" xfId="0" applyNumberFormat="1" applyFill="1" applyBorder="1" applyAlignment="1" applyProtection="1">
      <alignment/>
      <protection locked="0"/>
    </xf>
    <xf numFmtId="0" fontId="0" fillId="0" borderId="23" xfId="0" applyFill="1" applyBorder="1" applyAlignment="1" applyProtection="1">
      <alignment/>
      <protection/>
    </xf>
    <xf numFmtId="0" fontId="0" fillId="0" borderId="24" xfId="0" applyFill="1" applyBorder="1" applyAlignment="1" applyProtection="1">
      <alignment/>
      <protection/>
    </xf>
    <xf numFmtId="0" fontId="23" fillId="0" borderId="24" xfId="0" applyFont="1" applyFill="1" applyBorder="1" applyAlignment="1" applyProtection="1">
      <alignment horizontal="right"/>
      <protection/>
    </xf>
    <xf numFmtId="0" fontId="23" fillId="0" borderId="24" xfId="0" applyFont="1" applyFill="1" applyBorder="1" applyAlignment="1" applyProtection="1">
      <alignment horizontal="center"/>
      <protection/>
    </xf>
    <xf numFmtId="0" fontId="10" fillId="0" borderId="24" xfId="0" applyFont="1" applyFill="1" applyBorder="1" applyAlignment="1" applyProtection="1">
      <alignment/>
      <protection/>
    </xf>
    <xf numFmtId="0" fontId="10" fillId="0" borderId="25" xfId="0" applyFont="1" applyFill="1" applyBorder="1" applyAlignment="1" applyProtection="1">
      <alignment/>
      <protection/>
    </xf>
    <xf numFmtId="0" fontId="0" fillId="0" borderId="25" xfId="0" applyFill="1" applyBorder="1" applyAlignment="1" applyProtection="1">
      <alignment/>
      <protection/>
    </xf>
    <xf numFmtId="0" fontId="9" fillId="0" borderId="23" xfId="0" applyFont="1" applyFill="1" applyBorder="1" applyAlignment="1" applyProtection="1">
      <alignment/>
      <protection/>
    </xf>
    <xf numFmtId="0" fontId="9" fillId="0" borderId="24" xfId="0" applyFont="1" applyBorder="1" applyAlignment="1" applyProtection="1">
      <alignment/>
      <protection/>
    </xf>
    <xf numFmtId="0" fontId="9" fillId="0" borderId="24" xfId="0" applyFont="1" applyFill="1" applyBorder="1" applyAlignment="1" applyProtection="1">
      <alignment/>
      <protection/>
    </xf>
    <xf numFmtId="0" fontId="9" fillId="0" borderId="24" xfId="0" applyFont="1" applyFill="1" applyBorder="1" applyAlignment="1" applyProtection="1">
      <alignment horizontal="right"/>
      <protection/>
    </xf>
    <xf numFmtId="2" fontId="9" fillId="0" borderId="24" xfId="0" applyNumberFormat="1" applyFont="1" applyFill="1" applyBorder="1" applyAlignment="1" applyProtection="1">
      <alignment horizontal="center"/>
      <protection/>
    </xf>
    <xf numFmtId="0" fontId="9" fillId="0" borderId="24" xfId="0" applyFont="1" applyBorder="1" applyAlignment="1" applyProtection="1">
      <alignment wrapText="1"/>
      <protection/>
    </xf>
    <xf numFmtId="0" fontId="9" fillId="0" borderId="25" xfId="0" applyFont="1" applyBorder="1" applyAlignment="1" applyProtection="1">
      <alignment wrapText="1"/>
      <protection/>
    </xf>
    <xf numFmtId="0" fontId="9" fillId="0" borderId="53" xfId="0" applyFont="1" applyBorder="1" applyAlignment="1" applyProtection="1">
      <alignment wrapText="1"/>
      <protection/>
    </xf>
    <xf numFmtId="0" fontId="10" fillId="0" borderId="53" xfId="0" applyFont="1" applyFill="1" applyBorder="1" applyAlignment="1" applyProtection="1">
      <alignment/>
      <protection/>
    </xf>
    <xf numFmtId="0" fontId="0" fillId="0" borderId="53" xfId="0" applyFill="1" applyBorder="1" applyAlignment="1" applyProtection="1">
      <alignment/>
      <protection/>
    </xf>
    <xf numFmtId="0" fontId="32" fillId="0" borderId="0" xfId="0" applyFont="1" applyAlignment="1" applyProtection="1">
      <alignment/>
      <protection locked="0"/>
    </xf>
    <xf numFmtId="0" fontId="0" fillId="33" borderId="14" xfId="0" applyFill="1" applyBorder="1" applyAlignment="1" applyProtection="1">
      <alignment horizontal="center" vertical="center"/>
      <protection locked="0"/>
    </xf>
    <xf numFmtId="0" fontId="39" fillId="0" borderId="40" xfId="0" applyFont="1" applyBorder="1" applyAlignment="1" applyProtection="1">
      <alignment horizontal="center"/>
      <protection/>
    </xf>
    <xf numFmtId="0" fontId="39" fillId="0" borderId="28" xfId="0" applyFont="1" applyBorder="1" applyAlignment="1" applyProtection="1">
      <alignment horizontal="center"/>
      <protection/>
    </xf>
    <xf numFmtId="0" fontId="39" fillId="0" borderId="33" xfId="0" applyFont="1" applyBorder="1" applyAlignment="1" applyProtection="1">
      <alignment horizontal="center"/>
      <protection/>
    </xf>
    <xf numFmtId="0" fontId="27" fillId="0" borderId="75" xfId="0" applyFont="1" applyBorder="1" applyAlignment="1" applyProtection="1">
      <alignment horizontal="center"/>
      <protection/>
    </xf>
    <xf numFmtId="0" fontId="36" fillId="0" borderId="61" xfId="0" applyFont="1" applyBorder="1" applyAlignment="1" applyProtection="1">
      <alignment horizontal="center"/>
      <protection/>
    </xf>
    <xf numFmtId="0" fontId="36" fillId="0" borderId="76" xfId="0" applyFont="1" applyBorder="1" applyAlignment="1" applyProtection="1">
      <alignment horizontal="center"/>
      <protection/>
    </xf>
    <xf numFmtId="0" fontId="36" fillId="0" borderId="13" xfId="0" applyFont="1" applyBorder="1" applyAlignment="1" applyProtection="1">
      <alignment horizontal="center"/>
      <protection/>
    </xf>
    <xf numFmtId="0" fontId="36" fillId="0" borderId="0" xfId="0" applyFont="1" applyBorder="1" applyAlignment="1" applyProtection="1">
      <alignment horizontal="center"/>
      <protection/>
    </xf>
    <xf numFmtId="0" fontId="36" fillId="0" borderId="22" xfId="0" applyFont="1" applyBorder="1" applyAlignment="1" applyProtection="1">
      <alignment horizontal="center"/>
      <protection/>
    </xf>
    <xf numFmtId="0" fontId="4" fillId="0" borderId="13" xfId="0" applyFont="1" applyBorder="1" applyAlignment="1" applyProtection="1">
      <alignment horizontal="center"/>
      <protection/>
    </xf>
    <xf numFmtId="0" fontId="37" fillId="0" borderId="0" xfId="0" applyFont="1" applyBorder="1" applyAlignment="1" applyProtection="1">
      <alignment horizontal="center"/>
      <protection/>
    </xf>
    <xf numFmtId="0" fontId="37" fillId="0" borderId="22" xfId="0" applyFont="1" applyBorder="1" applyAlignment="1" applyProtection="1">
      <alignment horizontal="center"/>
      <protection/>
    </xf>
    <xf numFmtId="0" fontId="3" fillId="0" borderId="53"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69" xfId="0" applyFont="1" applyBorder="1" applyAlignment="1" applyProtection="1">
      <alignment horizontal="center"/>
      <protection/>
    </xf>
    <xf numFmtId="0" fontId="7" fillId="0" borderId="40" xfId="0" applyFont="1" applyBorder="1" applyAlignment="1" applyProtection="1">
      <alignment/>
      <protection/>
    </xf>
    <xf numFmtId="0" fontId="0" fillId="0" borderId="28" xfId="0" applyBorder="1" applyAlignment="1" applyProtection="1">
      <alignment/>
      <protection/>
    </xf>
    <xf numFmtId="0" fontId="0" fillId="0" borderId="33" xfId="0" applyBorder="1" applyAlignment="1" applyProtection="1">
      <alignment/>
      <protection/>
    </xf>
    <xf numFmtId="0" fontId="0" fillId="0" borderId="0" xfId="0" applyFill="1" applyBorder="1" applyAlignment="1" applyProtection="1">
      <alignment horizontal="center"/>
      <protection/>
    </xf>
    <xf numFmtId="0" fontId="0" fillId="0" borderId="62" xfId="0" applyBorder="1" applyAlignment="1" applyProtection="1">
      <alignment/>
      <protection/>
    </xf>
    <xf numFmtId="0" fontId="0" fillId="0" borderId="11" xfId="0" applyBorder="1" applyAlignment="1" applyProtection="1">
      <alignment/>
      <protection/>
    </xf>
    <xf numFmtId="0" fontId="1" fillId="0" borderId="75" xfId="0" applyFont="1" applyBorder="1" applyAlignment="1" applyProtection="1">
      <alignment/>
      <protection/>
    </xf>
    <xf numFmtId="0" fontId="0" fillId="0" borderId="13" xfId="0" applyBorder="1" applyAlignment="1" applyProtection="1">
      <alignment/>
      <protection/>
    </xf>
    <xf numFmtId="0" fontId="2" fillId="35" borderId="67" xfId="0" applyFont="1" applyFill="1" applyBorder="1" applyAlignment="1" applyProtection="1">
      <alignment horizontal="center" vertical="center"/>
      <protection/>
    </xf>
    <xf numFmtId="0" fontId="2" fillId="35" borderId="77" xfId="0" applyFont="1" applyFill="1" applyBorder="1" applyAlignment="1" applyProtection="1">
      <alignment horizontal="center" vertical="center"/>
      <protection/>
    </xf>
    <xf numFmtId="0" fontId="2" fillId="35" borderId="78" xfId="0" applyFont="1" applyFill="1" applyBorder="1" applyAlignment="1" applyProtection="1">
      <alignment horizontal="center" vertical="center"/>
      <protection/>
    </xf>
    <xf numFmtId="0" fontId="0" fillId="0" borderId="13" xfId="0" applyBorder="1" applyAlignment="1" applyProtection="1">
      <alignment horizontal="right" vertical="center" wrapText="1"/>
      <protection/>
    </xf>
    <xf numFmtId="0" fontId="0" fillId="0" borderId="0" xfId="0" applyBorder="1" applyAlignment="1" applyProtection="1">
      <alignment horizontal="right" vertical="center" wrapText="1"/>
      <protection/>
    </xf>
    <xf numFmtId="0" fontId="7" fillId="0" borderId="40" xfId="0" applyFont="1" applyBorder="1" applyAlignment="1" applyProtection="1">
      <alignment/>
      <protection/>
    </xf>
    <xf numFmtId="0" fontId="12" fillId="0" borderId="39" xfId="0" applyFont="1" applyFill="1" applyBorder="1" applyAlignment="1" applyProtection="1">
      <alignment horizontal="center"/>
      <protection/>
    </xf>
    <xf numFmtId="0" fontId="8" fillId="0" borderId="26" xfId="0" applyFont="1" applyBorder="1" applyAlignment="1" applyProtection="1">
      <alignment/>
      <protection/>
    </xf>
    <xf numFmtId="0" fontId="8" fillId="0" borderId="27" xfId="0" applyFont="1" applyBorder="1" applyAlignment="1" applyProtection="1">
      <alignment/>
      <protection/>
    </xf>
    <xf numFmtId="0" fontId="32" fillId="0" borderId="13" xfId="0" applyFont="1" applyBorder="1" applyAlignment="1" applyProtection="1">
      <alignment horizontal="center" wrapText="1"/>
      <protection/>
    </xf>
    <xf numFmtId="0" fontId="32" fillId="0" borderId="11" xfId="0" applyFont="1" applyBorder="1" applyAlignment="1" applyProtection="1">
      <alignment horizontal="center" wrapText="1"/>
      <protection/>
    </xf>
    <xf numFmtId="0" fontId="0" fillId="0" borderId="13" xfId="0" applyBorder="1" applyAlignment="1" applyProtection="1">
      <alignment horizontal="right"/>
      <protection/>
    </xf>
    <xf numFmtId="0" fontId="0" fillId="0" borderId="0" xfId="0" applyBorder="1" applyAlignment="1" applyProtection="1">
      <alignment horizontal="right"/>
      <protection/>
    </xf>
    <xf numFmtId="0" fontId="38" fillId="0" borderId="0" xfId="0" applyFont="1" applyBorder="1" applyAlignment="1" applyProtection="1">
      <alignment/>
      <protection/>
    </xf>
    <xf numFmtId="0" fontId="38" fillId="0" borderId="0" xfId="0" applyFont="1" applyBorder="1" applyAlignment="1">
      <alignment/>
    </xf>
    <xf numFmtId="0" fontId="1" fillId="0" borderId="39" xfId="0" applyFont="1" applyFill="1" applyBorder="1" applyAlignment="1" applyProtection="1">
      <alignment horizontal="right" wrapText="1"/>
      <protection locked="0"/>
    </xf>
    <xf numFmtId="0" fontId="0" fillId="0" borderId="26" xfId="0" applyFill="1" applyBorder="1" applyAlignment="1" applyProtection="1">
      <alignment horizontal="right" wrapText="1"/>
      <protection locked="0"/>
    </xf>
    <xf numFmtId="0" fontId="1" fillId="0" borderId="10" xfId="0" applyFont="1" applyBorder="1" applyAlignment="1" applyProtection="1">
      <alignment horizontal="right" wrapText="1"/>
      <protection/>
    </xf>
    <xf numFmtId="0" fontId="1" fillId="0" borderId="0" xfId="0" applyFont="1" applyBorder="1" applyAlignment="1" applyProtection="1">
      <alignment/>
      <protection/>
    </xf>
    <xf numFmtId="0" fontId="14" fillId="0" borderId="0" xfId="0" applyFont="1" applyBorder="1" applyAlignment="1" applyProtection="1">
      <alignment wrapText="1"/>
      <protection/>
    </xf>
    <xf numFmtId="0" fontId="0" fillId="0" borderId="0" xfId="0" applyBorder="1" applyAlignment="1" applyProtection="1">
      <alignment wrapText="1"/>
      <protection/>
    </xf>
    <xf numFmtId="0" fontId="41" fillId="0" borderId="10" xfId="0" applyFont="1" applyBorder="1" applyAlignment="1" applyProtection="1">
      <alignment horizontal="right" wrapText="1"/>
      <protection/>
    </xf>
    <xf numFmtId="3" fontId="1" fillId="0" borderId="0" xfId="0" applyNumberFormat="1" applyFont="1" applyBorder="1" applyAlignment="1" applyProtection="1">
      <alignment horizontal="center" vertical="top"/>
      <protection/>
    </xf>
    <xf numFmtId="3" fontId="1" fillId="0" borderId="0" xfId="0" applyNumberFormat="1"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lignment/>
    </xf>
    <xf numFmtId="0" fontId="9" fillId="0" borderId="0" xfId="0" applyFont="1" applyBorder="1" applyAlignment="1" applyProtection="1">
      <alignment horizontal="center"/>
      <protection/>
    </xf>
    <xf numFmtId="1" fontId="0" fillId="0" borderId="0" xfId="0" applyNumberFormat="1" applyBorder="1" applyAlignment="1" applyProtection="1">
      <alignment horizontal="center"/>
      <protection/>
    </xf>
    <xf numFmtId="10" fontId="0" fillId="0" borderId="0" xfId="0" applyNumberFormat="1" applyBorder="1" applyAlignment="1" applyProtection="1">
      <alignment horizontal="center"/>
      <protection/>
    </xf>
    <xf numFmtId="0" fontId="14" fillId="0" borderId="0" xfId="0" applyFont="1" applyBorder="1" applyAlignment="1" applyProtection="1">
      <alignment horizontal="center" wrapText="1"/>
      <protection/>
    </xf>
    <xf numFmtId="0" fontId="0" fillId="0" borderId="0" xfId="0" applyBorder="1" applyAlignment="1">
      <alignment horizontal="center" wrapText="1"/>
    </xf>
    <xf numFmtId="0" fontId="18" fillId="0" borderId="13" xfId="0" applyFont="1" applyBorder="1" applyAlignment="1" applyProtection="1">
      <alignment horizontal="center" vertical="top" wrapText="1"/>
      <protection/>
    </xf>
    <xf numFmtId="0" fontId="18" fillId="0" borderId="11" xfId="0" applyFont="1" applyBorder="1" applyAlignment="1" applyProtection="1">
      <alignment horizontal="center" vertical="top" wrapText="1"/>
      <protection/>
    </xf>
    <xf numFmtId="0" fontId="18" fillId="0" borderId="13" xfId="0" applyFont="1" applyBorder="1" applyAlignment="1" applyProtection="1">
      <alignment horizontal="left" vertical="top" wrapText="1"/>
      <protection/>
    </xf>
    <xf numFmtId="0" fontId="18" fillId="0" borderId="11" xfId="0" applyFont="1" applyBorder="1" applyAlignment="1" applyProtection="1">
      <alignment horizontal="left" vertical="top" wrapText="1"/>
      <protection/>
    </xf>
    <xf numFmtId="0" fontId="18" fillId="0" borderId="24" xfId="0" applyFont="1" applyBorder="1" applyAlignment="1" applyProtection="1">
      <alignment horizontal="left" vertical="top" wrapText="1"/>
      <protection/>
    </xf>
    <xf numFmtId="0" fontId="18" fillId="0" borderId="25" xfId="0" applyFont="1" applyBorder="1" applyAlignment="1" applyProtection="1">
      <alignment horizontal="left" vertical="top" wrapText="1"/>
      <protection/>
    </xf>
    <xf numFmtId="0" fontId="0" fillId="0" borderId="0" xfId="0" applyBorder="1" applyAlignment="1" applyProtection="1">
      <alignment vertical="center" wrapText="1"/>
      <protection/>
    </xf>
    <xf numFmtId="0" fontId="30" fillId="0" borderId="0" xfId="0" applyFont="1" applyBorder="1" applyAlignment="1" applyProtection="1">
      <alignment wrapText="1"/>
      <protection/>
    </xf>
    <xf numFmtId="0" fontId="10" fillId="0" borderId="0" xfId="0" applyFont="1" applyBorder="1" applyAlignment="1" applyProtection="1">
      <alignment wrapText="1"/>
      <protection/>
    </xf>
    <xf numFmtId="0" fontId="10" fillId="0" borderId="11" xfId="0" applyFont="1"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1" fillId="0" borderId="0" xfId="0" applyFont="1" applyBorder="1" applyAlignment="1" applyProtection="1">
      <alignment horizontal="center"/>
      <protection/>
    </xf>
    <xf numFmtId="0" fontId="44" fillId="0" borderId="13" xfId="0" applyFont="1" applyBorder="1" applyAlignment="1" applyProtection="1">
      <alignment horizontal="center" wrapText="1"/>
      <protection/>
    </xf>
    <xf numFmtId="0" fontId="44" fillId="0" borderId="1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1" xfId="0" applyFont="1" applyBorder="1" applyAlignment="1" applyProtection="1">
      <alignment horizontal="center" wrapText="1"/>
      <protection/>
    </xf>
    <xf numFmtId="0" fontId="23" fillId="36" borderId="79" xfId="0" applyFont="1" applyFill="1" applyBorder="1" applyAlignment="1" applyProtection="1">
      <alignment horizontal="center"/>
      <protection/>
    </xf>
    <xf numFmtId="0" fontId="0" fillId="0" borderId="77" xfId="0" applyBorder="1" applyAlignment="1" applyProtection="1">
      <alignment horizontal="center"/>
      <protection/>
    </xf>
    <xf numFmtId="0" fontId="0" fillId="0" borderId="80" xfId="0" applyBorder="1" applyAlignment="1" applyProtection="1">
      <alignment horizontal="center"/>
      <protection/>
    </xf>
    <xf numFmtId="0" fontId="0" fillId="0" borderId="0" xfId="0" applyFont="1" applyFill="1" applyAlignment="1" applyProtection="1">
      <alignment horizontal="center" vertical="center"/>
      <protection/>
    </xf>
    <xf numFmtId="0" fontId="0" fillId="0" borderId="0" xfId="0" applyAlignment="1">
      <alignment vertical="center"/>
    </xf>
    <xf numFmtId="0" fontId="10" fillId="0" borderId="0" xfId="0" applyFont="1" applyFill="1" applyAlignment="1" applyProtection="1">
      <alignment vertical="top" wrapText="1"/>
      <protection/>
    </xf>
    <xf numFmtId="0" fontId="32" fillId="0" borderId="0" xfId="0" applyFont="1" applyAlignment="1">
      <alignment wrapText="1"/>
    </xf>
    <xf numFmtId="0" fontId="0" fillId="0"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Fill="1" applyBorder="1" applyAlignment="1" applyProtection="1">
      <alignment horizontal="right"/>
      <protection/>
    </xf>
    <xf numFmtId="0" fontId="18" fillId="0" borderId="13" xfId="0" applyFont="1" applyBorder="1" applyAlignment="1" applyProtection="1">
      <alignment horizontal="left" wrapText="1"/>
      <protection/>
    </xf>
    <xf numFmtId="0" fontId="18" fillId="0" borderId="11" xfId="0" applyFont="1" applyBorder="1" applyAlignment="1" applyProtection="1">
      <alignment horizontal="left" wrapText="1"/>
      <protection/>
    </xf>
    <xf numFmtId="0" fontId="1" fillId="0" borderId="39" xfId="0" applyFont="1" applyBorder="1" applyAlignment="1" applyProtection="1">
      <alignment horizontal="right" vertical="center" wrapText="1"/>
      <protection/>
    </xf>
    <xf numFmtId="0" fontId="1" fillId="0" borderId="26" xfId="0" applyFont="1" applyBorder="1" applyAlignment="1" applyProtection="1">
      <alignment wrapText="1"/>
      <protection/>
    </xf>
    <xf numFmtId="0" fontId="23" fillId="36" borderId="42" xfId="0" applyFont="1" applyFill="1" applyBorder="1" applyAlignment="1" applyProtection="1">
      <alignment horizontal="center" wrapText="1"/>
      <protection/>
    </xf>
    <xf numFmtId="0" fontId="23" fillId="36" borderId="59" xfId="0" applyFont="1" applyFill="1" applyBorder="1" applyAlignment="1" applyProtection="1">
      <alignment horizontal="center" wrapText="1"/>
      <protection/>
    </xf>
    <xf numFmtId="0" fontId="24" fillId="36" borderId="59" xfId="0" applyFont="1" applyFill="1" applyBorder="1" applyAlignment="1" applyProtection="1">
      <alignment/>
      <protection/>
    </xf>
    <xf numFmtId="0" fontId="24" fillId="36" borderId="81" xfId="0" applyFont="1" applyFill="1" applyBorder="1" applyAlignment="1" applyProtection="1">
      <alignment/>
      <protection/>
    </xf>
    <xf numFmtId="0" fontId="0" fillId="0" borderId="13" xfId="0" applyBorder="1" applyAlignment="1" applyProtection="1">
      <alignment horizontal="right" wrapText="1"/>
      <protection/>
    </xf>
    <xf numFmtId="0" fontId="0" fillId="0" borderId="0" xfId="0" applyBorder="1" applyAlignment="1" applyProtection="1">
      <alignment horizontal="right" wrapText="1"/>
      <protection/>
    </xf>
    <xf numFmtId="0" fontId="0" fillId="0" borderId="0" xfId="0" applyBorder="1" applyAlignment="1">
      <alignment vertical="center" wrapText="1"/>
    </xf>
    <xf numFmtId="0" fontId="34" fillId="0" borderId="50" xfId="0" applyFont="1" applyBorder="1" applyAlignment="1" applyProtection="1">
      <alignment horizontal="center"/>
      <protection/>
    </xf>
    <xf numFmtId="0" fontId="9" fillId="0" borderId="54" xfId="0" applyFont="1" applyBorder="1" applyAlignment="1">
      <alignment horizontal="center"/>
    </xf>
    <xf numFmtId="2" fontId="34" fillId="0" borderId="54" xfId="0" applyNumberFormat="1" applyFont="1" applyBorder="1" applyAlignment="1" applyProtection="1">
      <alignment horizontal="center"/>
      <protection/>
    </xf>
    <xf numFmtId="2" fontId="0" fillId="0" borderId="0" xfId="0" applyNumberFormat="1" applyFill="1" applyBorder="1" applyAlignment="1" applyProtection="1">
      <alignment horizontal="center"/>
      <protection/>
    </xf>
    <xf numFmtId="0" fontId="0" fillId="0" borderId="0" xfId="0" applyFill="1" applyBorder="1" applyAlignment="1" applyProtection="1">
      <alignment/>
      <protection/>
    </xf>
    <xf numFmtId="0" fontId="0" fillId="0" borderId="22" xfId="0" applyFill="1" applyBorder="1" applyAlignment="1" applyProtection="1">
      <alignment/>
      <protection/>
    </xf>
    <xf numFmtId="2" fontId="0" fillId="0" borderId="26" xfId="0" applyNumberFormat="1" applyFill="1" applyBorder="1" applyAlignment="1" applyProtection="1">
      <alignment horizontal="center"/>
      <protection/>
    </xf>
    <xf numFmtId="0" fontId="0" fillId="0" borderId="26" xfId="0" applyFill="1" applyBorder="1" applyAlignment="1" applyProtection="1">
      <alignment/>
      <protection/>
    </xf>
    <xf numFmtId="0" fontId="0" fillId="0" borderId="27" xfId="0" applyFill="1" applyBorder="1" applyAlignment="1" applyProtection="1">
      <alignment/>
      <protection/>
    </xf>
    <xf numFmtId="0" fontId="34" fillId="0" borderId="54" xfId="0" applyFont="1" applyBorder="1" applyAlignment="1" applyProtection="1">
      <alignment horizontal="center"/>
      <protection/>
    </xf>
    <xf numFmtId="0" fontId="9" fillId="0" borderId="55" xfId="0" applyFont="1" applyBorder="1" applyAlignment="1">
      <alignment horizontal="center"/>
    </xf>
    <xf numFmtId="0" fontId="24" fillId="0" borderId="13" xfId="0" applyFont="1" applyBorder="1" applyAlignment="1" applyProtection="1">
      <alignment horizontal="right"/>
      <protection/>
    </xf>
    <xf numFmtId="0" fontId="0" fillId="0" borderId="0" xfId="0" applyAlignment="1">
      <alignment/>
    </xf>
    <xf numFmtId="0" fontId="0" fillId="0" borderId="22" xfId="0" applyBorder="1" applyAlignment="1">
      <alignment/>
    </xf>
    <xf numFmtId="0" fontId="2" fillId="0" borderId="42" xfId="0" applyFont="1" applyBorder="1" applyAlignment="1" applyProtection="1">
      <alignment horizontal="center"/>
      <protection/>
    </xf>
    <xf numFmtId="0" fontId="0" fillId="0" borderId="59" xfId="0" applyBorder="1" applyAlignment="1" applyProtection="1">
      <alignment horizontal="center"/>
      <protection/>
    </xf>
    <xf numFmtId="0" fontId="0" fillId="0" borderId="81" xfId="0" applyBorder="1" applyAlignment="1" applyProtection="1">
      <alignment horizontal="center"/>
      <protection/>
    </xf>
    <xf numFmtId="0" fontId="24" fillId="0" borderId="13" xfId="0" applyFont="1" applyBorder="1" applyAlignment="1" applyProtection="1">
      <alignment horizontal="right"/>
      <protection/>
    </xf>
    <xf numFmtId="0" fontId="24" fillId="0" borderId="39" xfId="0" applyFont="1" applyBorder="1" applyAlignment="1" applyProtection="1">
      <alignment horizontal="right"/>
      <protection/>
    </xf>
    <xf numFmtId="0" fontId="0" fillId="0" borderId="26" xfId="0" applyBorder="1" applyAlignment="1">
      <alignment/>
    </xf>
    <xf numFmtId="0" fontId="0" fillId="0" borderId="54" xfId="0" applyFont="1" applyBorder="1" applyAlignment="1" applyProtection="1">
      <alignment horizontal="center"/>
      <protection/>
    </xf>
    <xf numFmtId="0" fontId="0" fillId="0" borderId="13" xfId="0" applyBorder="1" applyAlignment="1" applyProtection="1">
      <alignment horizontal="center"/>
      <protection/>
    </xf>
    <xf numFmtId="0" fontId="0" fillId="0" borderId="59" xfId="0" applyBorder="1" applyAlignment="1" applyProtection="1">
      <alignment/>
      <protection/>
    </xf>
    <xf numFmtId="0" fontId="0" fillId="0" borderId="81" xfId="0" applyBorder="1" applyAlignment="1" applyProtection="1">
      <alignment/>
      <protection/>
    </xf>
    <xf numFmtId="0" fontId="44" fillId="0" borderId="14" xfId="0" applyFont="1" applyFill="1" applyBorder="1" applyAlignment="1" applyProtection="1">
      <alignment horizontal="center" wrapText="1"/>
      <protection/>
    </xf>
    <xf numFmtId="0" fontId="18" fillId="0" borderId="14" xfId="0" applyFont="1" applyBorder="1" applyAlignment="1">
      <alignment horizontal="center" wrapText="1"/>
    </xf>
    <xf numFmtId="0" fontId="0" fillId="33" borderId="0" xfId="0" applyFont="1" applyFill="1" applyBorder="1" applyAlignment="1" applyProtection="1">
      <alignment horizontal="center"/>
      <protection locked="0"/>
    </xf>
    <xf numFmtId="0" fontId="2" fillId="0" borderId="59" xfId="0" applyFont="1" applyBorder="1" applyAlignment="1" applyProtection="1">
      <alignment horizontal="center"/>
      <protection/>
    </xf>
    <xf numFmtId="0" fontId="2" fillId="0" borderId="81" xfId="0" applyFont="1" applyBorder="1" applyAlignment="1" applyProtection="1">
      <alignment horizontal="center"/>
      <protection/>
    </xf>
    <xf numFmtId="0" fontId="0" fillId="0" borderId="39" xfId="0" applyBorder="1" applyAlignment="1" applyProtection="1">
      <alignment horizontal="center"/>
      <protection/>
    </xf>
    <xf numFmtId="0" fontId="0" fillId="0" borderId="26" xfId="0" applyBorder="1" applyAlignment="1" applyProtection="1">
      <alignment/>
      <protection/>
    </xf>
    <xf numFmtId="2" fontId="0" fillId="33" borderId="54" xfId="0" applyNumberFormat="1" applyFill="1" applyBorder="1" applyAlignment="1" applyProtection="1">
      <alignment horizontal="center"/>
      <protection locked="0"/>
    </xf>
    <xf numFmtId="0" fontId="0" fillId="33" borderId="54" xfId="0" applyFill="1" applyBorder="1" applyAlignment="1" applyProtection="1">
      <alignment/>
      <protection locked="0"/>
    </xf>
    <xf numFmtId="0" fontId="0" fillId="33" borderId="55" xfId="0" applyFill="1" applyBorder="1" applyAlignment="1" applyProtection="1">
      <alignment/>
      <protection locked="0"/>
    </xf>
    <xf numFmtId="0" fontId="0" fillId="33" borderId="26" xfId="0" applyFont="1" applyFill="1" applyBorder="1" applyAlignment="1" applyProtection="1">
      <alignment horizontal="center"/>
      <protection locked="0"/>
    </xf>
    <xf numFmtId="0" fontId="0" fillId="0" borderId="62" xfId="0" applyFill="1" applyBorder="1" applyAlignment="1" applyProtection="1">
      <alignment/>
      <protection/>
    </xf>
    <xf numFmtId="0" fontId="0" fillId="0" borderId="11" xfId="0" applyFill="1" applyBorder="1" applyAlignment="1" applyProtection="1">
      <alignment/>
      <protection/>
    </xf>
    <xf numFmtId="0" fontId="2" fillId="35" borderId="23" xfId="0" applyFont="1" applyFill="1" applyBorder="1" applyAlignment="1" applyProtection="1">
      <alignment horizontal="center" vertical="center"/>
      <protection/>
    </xf>
    <xf numFmtId="0" fontId="2" fillId="35" borderId="24" xfId="0" applyFont="1" applyFill="1" applyBorder="1" applyAlignment="1" applyProtection="1">
      <alignment vertical="center"/>
      <protection/>
    </xf>
    <xf numFmtId="0" fontId="2" fillId="35" borderId="25" xfId="0" applyFont="1" applyFill="1" applyBorder="1" applyAlignment="1" applyProtection="1">
      <alignment vertical="center"/>
      <protection/>
    </xf>
    <xf numFmtId="0" fontId="1" fillId="0" borderId="61" xfId="0" applyFont="1" applyFill="1" applyBorder="1" applyAlignment="1" applyProtection="1">
      <alignment/>
      <protection/>
    </xf>
    <xf numFmtId="0" fontId="27" fillId="0" borderId="75" xfId="0" applyFont="1" applyFill="1" applyBorder="1" applyAlignment="1" applyProtection="1">
      <alignment horizontal="center" vertical="center"/>
      <protection/>
    </xf>
    <xf numFmtId="0" fontId="0" fillId="0" borderId="61" xfId="0" applyBorder="1" applyAlignment="1">
      <alignment horizontal="center" vertical="center"/>
    </xf>
    <xf numFmtId="0" fontId="0" fillId="0" borderId="76"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4" fillId="0" borderId="13"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69" xfId="0" applyBorder="1" applyAlignment="1">
      <alignment horizontal="center" vertical="center"/>
    </xf>
    <xf numFmtId="0" fontId="24" fillId="0" borderId="13" xfId="0" applyFont="1" applyBorder="1" applyAlignment="1" applyProtection="1">
      <alignment horizontal="center"/>
      <protection/>
    </xf>
    <xf numFmtId="0" fontId="0" fillId="0" borderId="0" xfId="0" applyBorder="1" applyAlignment="1">
      <alignment horizontal="center"/>
    </xf>
    <xf numFmtId="2" fontId="24" fillId="0" borderId="0" xfId="0" applyNumberFormat="1" applyFont="1" applyBorder="1" applyAlignment="1" applyProtection="1">
      <alignment horizontal="center"/>
      <protection/>
    </xf>
    <xf numFmtId="0" fontId="0" fillId="0" borderId="22" xfId="0" applyBorder="1" applyAlignment="1">
      <alignment horizontal="center"/>
    </xf>
    <xf numFmtId="0" fontId="24" fillId="0" borderId="39" xfId="0" applyFont="1" applyBorder="1" applyAlignment="1" applyProtection="1">
      <alignment horizontal="center"/>
      <protection/>
    </xf>
    <xf numFmtId="0" fontId="0" fillId="0" borderId="26" xfId="0" applyBorder="1" applyAlignment="1">
      <alignment horizontal="center"/>
    </xf>
    <xf numFmtId="0" fontId="2" fillId="0" borderId="0" xfId="0" applyFont="1" applyBorder="1" applyAlignment="1" applyProtection="1">
      <alignment horizontal="left"/>
      <protection locked="0"/>
    </xf>
    <xf numFmtId="0" fontId="2" fillId="0" borderId="24" xfId="0" applyFont="1" applyBorder="1" applyAlignment="1" applyProtection="1">
      <alignment horizontal="left"/>
      <protection locked="0"/>
    </xf>
    <xf numFmtId="0" fontId="0" fillId="0" borderId="0" xfId="0" applyBorder="1" applyAlignment="1" applyProtection="1">
      <alignment horizontal="left" vertical="top" wrapText="1"/>
      <protection/>
    </xf>
    <xf numFmtId="2" fontId="24" fillId="0" borderId="26" xfId="0" applyNumberFormat="1" applyFont="1" applyBorder="1" applyAlignment="1" applyProtection="1">
      <alignment horizontal="center"/>
      <protection/>
    </xf>
    <xf numFmtId="0" fontId="0" fillId="0" borderId="27" xfId="0" applyBorder="1" applyAlignment="1">
      <alignment horizontal="center"/>
    </xf>
    <xf numFmtId="0" fontId="44" fillId="0" borderId="40" xfId="0" applyFont="1" applyFill="1" applyBorder="1" applyAlignment="1" applyProtection="1">
      <alignment horizontal="center" wrapText="1"/>
      <protection/>
    </xf>
    <xf numFmtId="0" fontId="18" fillId="0" borderId="28" xfId="0" applyFont="1" applyBorder="1" applyAlignment="1" applyProtection="1">
      <alignment horizontal="center" wrapText="1"/>
      <protection/>
    </xf>
    <xf numFmtId="0" fontId="18" fillId="0" borderId="33" xfId="0" applyFont="1" applyBorder="1" applyAlignment="1" applyProtection="1">
      <alignment horizontal="center" wrapText="1"/>
      <protection/>
    </xf>
    <xf numFmtId="0" fontId="0" fillId="33" borderId="40" xfId="0" applyFill="1" applyBorder="1" applyAlignment="1" applyProtection="1">
      <alignment horizontal="center" vertical="top"/>
      <protection locked="0"/>
    </xf>
    <xf numFmtId="0" fontId="0" fillId="33" borderId="33" xfId="0" applyFill="1" applyBorder="1" applyAlignment="1" applyProtection="1">
      <alignment horizontal="center" vertical="top"/>
      <protection locked="0"/>
    </xf>
    <xf numFmtId="0" fontId="0" fillId="33" borderId="40"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1" fillId="0" borderId="40" xfId="0" applyFont="1" applyFill="1" applyBorder="1" applyAlignment="1">
      <alignment horizontal="center"/>
    </xf>
    <xf numFmtId="0" fontId="1" fillId="0" borderId="33" xfId="0" applyFont="1" applyFill="1" applyBorder="1" applyAlignment="1">
      <alignment horizontal="center"/>
    </xf>
    <xf numFmtId="0" fontId="27" fillId="0" borderId="75" xfId="0" applyFont="1" applyBorder="1" applyAlignment="1">
      <alignment horizontal="center" vertical="center"/>
    </xf>
    <xf numFmtId="0" fontId="36" fillId="0" borderId="61" xfId="0" applyFont="1" applyBorder="1" applyAlignment="1">
      <alignment vertical="center"/>
    </xf>
    <xf numFmtId="0" fontId="36" fillId="0" borderId="76" xfId="0" applyFont="1" applyBorder="1" applyAlignment="1">
      <alignment vertical="center"/>
    </xf>
    <xf numFmtId="0" fontId="36" fillId="0" borderId="13" xfId="0" applyFont="1" applyBorder="1" applyAlignment="1">
      <alignment vertical="center"/>
    </xf>
    <xf numFmtId="0" fontId="36" fillId="0" borderId="0" xfId="0" applyFont="1" applyBorder="1" applyAlignment="1">
      <alignment vertical="center"/>
    </xf>
    <xf numFmtId="0" fontId="36" fillId="0" borderId="22" xfId="0" applyFont="1" applyBorder="1" applyAlignment="1">
      <alignment vertical="center"/>
    </xf>
    <xf numFmtId="0" fontId="4" fillId="0" borderId="13" xfId="0" applyFont="1" applyBorder="1" applyAlignment="1">
      <alignment horizontal="center" vertical="center"/>
    </xf>
    <xf numFmtId="0" fontId="37" fillId="0" borderId="0" xfId="0" applyFont="1" applyBorder="1" applyAlignment="1">
      <alignment vertical="center"/>
    </xf>
    <xf numFmtId="0" fontId="37" fillId="0" borderId="22" xfId="0" applyFont="1" applyBorder="1" applyAlignment="1">
      <alignment vertical="center"/>
    </xf>
    <xf numFmtId="0" fontId="3" fillId="0" borderId="53" xfId="0" applyFont="1" applyBorder="1" applyAlignment="1">
      <alignment horizontal="center" vertical="center"/>
    </xf>
    <xf numFmtId="0" fontId="7" fillId="0" borderId="24" xfId="0" applyFont="1" applyBorder="1" applyAlignment="1">
      <alignment vertical="center"/>
    </xf>
    <xf numFmtId="0" fontId="7" fillId="0" borderId="69" xfId="0" applyFont="1" applyBorder="1" applyAlignment="1">
      <alignment vertical="center"/>
    </xf>
    <xf numFmtId="0" fontId="35" fillId="0" borderId="13" xfId="0" applyFont="1" applyFill="1" applyBorder="1" applyAlignment="1">
      <alignment horizontal="center" wrapText="1"/>
    </xf>
    <xf numFmtId="0" fontId="35" fillId="0" borderId="11" xfId="0" applyFont="1" applyBorder="1" applyAlignment="1">
      <alignment horizontal="center" wrapText="1"/>
    </xf>
    <xf numFmtId="0" fontId="35" fillId="0" borderId="13" xfId="0" applyFont="1"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3" xfId="0" applyBorder="1" applyAlignment="1">
      <alignment wrapText="1"/>
    </xf>
    <xf numFmtId="0" fontId="0" fillId="0" borderId="11" xfId="0" applyBorder="1" applyAlignment="1">
      <alignment wrapText="1"/>
    </xf>
    <xf numFmtId="0" fontId="0" fillId="33" borderId="15" xfId="0" applyFill="1" applyBorder="1" applyAlignment="1" applyProtection="1">
      <alignment horizontal="center" shrinkToFit="1"/>
      <protection locked="0"/>
    </xf>
    <xf numFmtId="0" fontId="0" fillId="0" borderId="62" xfId="0" applyBorder="1" applyAlignment="1">
      <alignment/>
    </xf>
    <xf numFmtId="0" fontId="0" fillId="0" borderId="11" xfId="0" applyBorder="1" applyAlignment="1">
      <alignment/>
    </xf>
    <xf numFmtId="0" fontId="2" fillId="35" borderId="67"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1" fillId="0" borderId="16" xfId="0" applyFont="1" applyFill="1" applyBorder="1" applyAlignment="1">
      <alignment horizontal="center"/>
    </xf>
    <xf numFmtId="0" fontId="1" fillId="0" borderId="42" xfId="0" applyFont="1" applyFill="1" applyBorder="1" applyAlignment="1">
      <alignment horizontal="center"/>
    </xf>
    <xf numFmtId="0" fontId="1" fillId="0" borderId="81" xfId="0" applyFont="1" applyFill="1" applyBorder="1" applyAlignment="1">
      <alignment horizontal="center"/>
    </xf>
    <xf numFmtId="0" fontId="1" fillId="0" borderId="14" xfId="0" applyFont="1" applyFill="1" applyBorder="1" applyAlignment="1">
      <alignment horizontal="center" wrapText="1"/>
    </xf>
    <xf numFmtId="0" fontId="0" fillId="0" borderId="14" xfId="0" applyBorder="1" applyAlignment="1">
      <alignment/>
    </xf>
    <xf numFmtId="0" fontId="12" fillId="0" borderId="0" xfId="0" applyFont="1"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wrapText="1"/>
      <protection/>
    </xf>
    <xf numFmtId="0" fontId="0" fillId="33" borderId="82" xfId="0" applyFill="1" applyBorder="1" applyAlignment="1" applyProtection="1">
      <alignment horizontal="center"/>
      <protection locked="0"/>
    </xf>
    <xf numFmtId="0" fontId="0" fillId="33" borderId="83" xfId="0" applyFill="1" applyBorder="1" applyAlignment="1" applyProtection="1">
      <alignment horizontal="center"/>
      <protection locked="0"/>
    </xf>
    <xf numFmtId="0" fontId="1" fillId="0" borderId="0" xfId="0" applyFont="1" applyFill="1" applyBorder="1" applyAlignment="1">
      <alignment horizontal="right" wrapText="1"/>
    </xf>
    <xf numFmtId="0" fontId="0" fillId="0" borderId="0" xfId="0" applyFill="1" applyBorder="1" applyAlignment="1">
      <alignment horizontal="right" wrapText="1"/>
    </xf>
    <xf numFmtId="0" fontId="0" fillId="0" borderId="10" xfId="0" applyFont="1" applyFill="1" applyBorder="1" applyAlignment="1">
      <alignment horizontal="right"/>
    </xf>
    <xf numFmtId="0" fontId="0" fillId="0" borderId="0" xfId="0" applyFont="1" applyBorder="1" applyAlignment="1">
      <alignment horizontal="right"/>
    </xf>
    <xf numFmtId="0" fontId="0" fillId="33" borderId="14" xfId="0" applyFill="1" applyBorder="1" applyAlignment="1" applyProtection="1">
      <alignment horizontal="right" shrinkToFit="1"/>
      <protection locked="0"/>
    </xf>
    <xf numFmtId="0" fontId="0" fillId="0" borderId="14" xfId="0" applyFill="1" applyBorder="1" applyAlignment="1">
      <alignment horizontal="right"/>
    </xf>
    <xf numFmtId="0" fontId="0" fillId="0" borderId="40" xfId="0" applyFill="1" applyBorder="1" applyAlignment="1">
      <alignment horizontal="right"/>
    </xf>
    <xf numFmtId="0" fontId="0" fillId="0" borderId="28" xfId="0" applyFill="1" applyBorder="1" applyAlignment="1">
      <alignment horizontal="right"/>
    </xf>
    <xf numFmtId="0" fontId="0" fillId="0" borderId="33" xfId="0" applyFill="1" applyBorder="1" applyAlignment="1">
      <alignment horizontal="right"/>
    </xf>
    <xf numFmtId="1" fontId="0" fillId="0" borderId="0" xfId="0" applyNumberFormat="1" applyFill="1" applyBorder="1" applyAlignment="1">
      <alignment horizontal="center"/>
    </xf>
    <xf numFmtId="0" fontId="0" fillId="0" borderId="0" xfId="0" applyFill="1" applyBorder="1" applyAlignment="1">
      <alignment/>
    </xf>
    <xf numFmtId="0" fontId="1" fillId="0" borderId="14" xfId="0" applyFont="1" applyFill="1" applyBorder="1" applyAlignment="1">
      <alignment horizontal="right"/>
    </xf>
    <xf numFmtId="0" fontId="21" fillId="0" borderId="26" xfId="0" applyFont="1" applyFill="1" applyBorder="1" applyAlignment="1">
      <alignment horizontal="left"/>
    </xf>
    <xf numFmtId="0" fontId="1" fillId="0" borderId="35" xfId="0" applyFont="1" applyFill="1" applyBorder="1" applyAlignment="1" applyProtection="1">
      <alignment horizontal="center" wrapText="1"/>
      <protection/>
    </xf>
    <xf numFmtId="0" fontId="1" fillId="0" borderId="26" xfId="0" applyFont="1" applyFill="1" applyBorder="1" applyAlignment="1" applyProtection="1">
      <alignment horizontal="center" wrapText="1"/>
      <protection/>
    </xf>
    <xf numFmtId="0" fontId="1" fillId="0" borderId="16" xfId="0" applyFont="1" applyBorder="1" applyAlignment="1">
      <alignment horizontal="center"/>
    </xf>
    <xf numFmtId="165" fontId="0" fillId="33" borderId="15" xfId="0" applyNumberFormat="1" applyFont="1" applyFill="1" applyBorder="1" applyAlignment="1" applyProtection="1">
      <alignment horizontal="center"/>
      <protection locked="0"/>
    </xf>
    <xf numFmtId="165" fontId="0" fillId="0" borderId="15" xfId="0" applyNumberFormat="1" applyBorder="1" applyAlignment="1" applyProtection="1">
      <alignment horizontal="center"/>
      <protection locked="0"/>
    </xf>
    <xf numFmtId="165" fontId="0" fillId="33" borderId="14" xfId="0" applyNumberFormat="1" applyFont="1" applyFill="1" applyBorder="1" applyAlignment="1" applyProtection="1">
      <alignment horizontal="center"/>
      <protection locked="0"/>
    </xf>
    <xf numFmtId="0" fontId="0" fillId="33" borderId="40" xfId="0" applyFont="1" applyFill="1" applyBorder="1" applyAlignment="1" applyProtection="1">
      <alignment horizontal="center"/>
      <protection locked="0"/>
    </xf>
    <xf numFmtId="0" fontId="0" fillId="33" borderId="28"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48" fillId="0" borderId="0" xfId="0" applyFont="1" applyFill="1" applyAlignment="1">
      <alignment wrapText="1"/>
    </xf>
    <xf numFmtId="0" fontId="48" fillId="0" borderId="0" xfId="0" applyFont="1" applyAlignment="1">
      <alignment wrapText="1"/>
    </xf>
    <xf numFmtId="1" fontId="1" fillId="0" borderId="42" xfId="0" applyNumberFormat="1" applyFont="1" applyFill="1" applyBorder="1" applyAlignment="1">
      <alignment horizontal="center"/>
    </xf>
    <xf numFmtId="1" fontId="1" fillId="0" borderId="59" xfId="0" applyNumberFormat="1" applyFont="1" applyFill="1" applyBorder="1" applyAlignment="1">
      <alignment horizontal="center"/>
    </xf>
    <xf numFmtId="1" fontId="1" fillId="0" borderId="81" xfId="0" applyNumberFormat="1" applyFont="1" applyFill="1" applyBorder="1" applyAlignment="1">
      <alignment horizontal="center"/>
    </xf>
    <xf numFmtId="0" fontId="0" fillId="33" borderId="49" xfId="0" applyFill="1" applyBorder="1" applyAlignment="1" applyProtection="1">
      <alignment horizontal="center"/>
      <protection locked="0"/>
    </xf>
    <xf numFmtId="0" fontId="0" fillId="33" borderId="42" xfId="0" applyFill="1" applyBorder="1" applyAlignment="1" applyProtection="1">
      <alignment horizontal="center"/>
      <protection locked="0"/>
    </xf>
    <xf numFmtId="0" fontId="0" fillId="33" borderId="59" xfId="0" applyFill="1" applyBorder="1" applyAlignment="1" applyProtection="1">
      <alignment horizontal="center"/>
      <protection locked="0"/>
    </xf>
    <xf numFmtId="0" fontId="0" fillId="33" borderId="81" xfId="0" applyFill="1" applyBorder="1" applyAlignment="1" applyProtection="1">
      <alignment horizontal="center"/>
      <protection locked="0"/>
    </xf>
    <xf numFmtId="0" fontId="0" fillId="33" borderId="14" xfId="0" applyFill="1" applyBorder="1" applyAlignment="1" applyProtection="1">
      <alignment horizontal="center" shrinkToFit="1"/>
      <protection locked="0"/>
    </xf>
    <xf numFmtId="0" fontId="47" fillId="0" borderId="13"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5" fillId="0" borderId="0" xfId="0" applyNumberFormat="1" applyFont="1" applyFill="1" applyBorder="1" applyAlignment="1" applyProtection="1">
      <alignment horizontal="left" vertical="top" wrapText="1"/>
      <protection/>
    </xf>
    <xf numFmtId="0" fontId="45" fillId="0" borderId="11" xfId="0" applyNumberFormat="1" applyFont="1" applyFill="1" applyBorder="1" applyAlignment="1" applyProtection="1">
      <alignment horizontal="left" vertical="top" wrapText="1"/>
      <protection/>
    </xf>
    <xf numFmtId="0" fontId="0" fillId="0" borderId="39" xfId="0" applyFont="1" applyFill="1" applyBorder="1" applyAlignment="1" applyProtection="1">
      <alignment horizontal="right" vertical="center" wrapText="1"/>
      <protection/>
    </xf>
    <xf numFmtId="0" fontId="0" fillId="0" borderId="26" xfId="0" applyFont="1" applyFill="1" applyBorder="1" applyAlignment="1" applyProtection="1">
      <alignment horizontal="right" vertical="center" wrapText="1"/>
      <protection/>
    </xf>
    <xf numFmtId="0" fontId="31" fillId="0" borderId="0" xfId="0" applyFont="1" applyBorder="1" applyAlignment="1" applyProtection="1">
      <alignment horizontal="center" vertical="center" wrapText="1"/>
      <protection/>
    </xf>
    <xf numFmtId="0" fontId="31" fillId="0" borderId="11" xfId="0" applyFont="1" applyBorder="1" applyAlignment="1" applyProtection="1">
      <alignment horizontal="center" vertical="center" wrapText="1"/>
      <protection/>
    </xf>
    <xf numFmtId="0" fontId="0" fillId="0" borderId="13" xfId="0"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28" xfId="0" applyFill="1" applyBorder="1" applyAlignment="1" applyProtection="1">
      <alignment horizontal="right"/>
      <protection/>
    </xf>
    <xf numFmtId="0" fontId="0" fillId="0" borderId="33" xfId="0" applyFill="1" applyBorder="1" applyAlignment="1" applyProtection="1">
      <alignment horizontal="right"/>
      <protection/>
    </xf>
    <xf numFmtId="0" fontId="31" fillId="0" borderId="13" xfId="0" applyFont="1" applyFill="1" applyBorder="1" applyAlignment="1" applyProtection="1">
      <alignment horizontal="left" vertical="center" wrapText="1"/>
      <protection/>
    </xf>
    <xf numFmtId="0" fontId="31" fillId="0" borderId="11" xfId="0" applyFont="1" applyFill="1" applyBorder="1" applyAlignment="1" applyProtection="1">
      <alignment horizontal="left" vertical="center" wrapText="1"/>
      <protection/>
    </xf>
    <xf numFmtId="0" fontId="30" fillId="0" borderId="0" xfId="0" applyFont="1" applyFill="1" applyAlignment="1" applyProtection="1">
      <alignment horizontal="center" wrapText="1" readingOrder="1"/>
      <protection/>
    </xf>
    <xf numFmtId="0" fontId="0" fillId="0" borderId="0" xfId="0" applyAlignment="1">
      <alignment wrapText="1" readingOrder="1"/>
    </xf>
    <xf numFmtId="0" fontId="31" fillId="0" borderId="13" xfId="0" applyFont="1" applyFill="1" applyBorder="1" applyAlignment="1" applyProtection="1">
      <alignment horizontal="center" vertical="center" wrapText="1"/>
      <protection/>
    </xf>
    <xf numFmtId="0" fontId="31" fillId="0" borderId="11" xfId="0" applyFont="1" applyFill="1" applyBorder="1" applyAlignment="1" applyProtection="1">
      <alignment horizontal="center" vertical="center" wrapText="1"/>
      <protection/>
    </xf>
    <xf numFmtId="0" fontId="1" fillId="0" borderId="82" xfId="0" applyFont="1" applyFill="1" applyBorder="1" applyAlignment="1" applyProtection="1">
      <alignment horizontal="right"/>
      <protection/>
    </xf>
    <xf numFmtId="0" fontId="0" fillId="0" borderId="83" xfId="0" applyBorder="1" applyAlignment="1" applyProtection="1">
      <alignment horizontal="right"/>
      <protection/>
    </xf>
    <xf numFmtId="0" fontId="1" fillId="0" borderId="84" xfId="0" applyFont="1" applyBorder="1" applyAlignment="1" applyProtection="1">
      <alignment horizontal="center"/>
      <protection/>
    </xf>
    <xf numFmtId="0" fontId="0" fillId="0" borderId="85" xfId="0" applyBorder="1" applyAlignment="1" applyProtection="1">
      <alignment/>
      <protection/>
    </xf>
    <xf numFmtId="0" fontId="0" fillId="0" borderId="35" xfId="0" applyBorder="1" applyAlignment="1" applyProtection="1">
      <alignment/>
      <protection/>
    </xf>
    <xf numFmtId="0" fontId="0" fillId="0" borderId="38" xfId="0" applyBorder="1" applyAlignment="1" applyProtection="1">
      <alignment/>
      <protection/>
    </xf>
    <xf numFmtId="0" fontId="27" fillId="0" borderId="86" xfId="0" applyFont="1" applyBorder="1" applyAlignment="1" applyProtection="1">
      <alignment horizontal="center" vertical="center"/>
      <protection/>
    </xf>
    <xf numFmtId="0" fontId="36" fillId="0" borderId="86" xfId="0" applyFont="1" applyBorder="1" applyAlignment="1">
      <alignment horizontal="center" vertical="center"/>
    </xf>
    <xf numFmtId="0" fontId="36" fillId="0" borderId="34" xfId="0" applyFont="1" applyBorder="1" applyAlignment="1">
      <alignment horizontal="center" vertical="center"/>
    </xf>
    <xf numFmtId="0" fontId="4" fillId="0" borderId="34" xfId="0" applyFont="1" applyBorder="1" applyAlignment="1" applyProtection="1">
      <alignment horizontal="center" vertical="center"/>
      <protection/>
    </xf>
    <xf numFmtId="0" fontId="37" fillId="0" borderId="34" xfId="0" applyFont="1" applyBorder="1" applyAlignment="1">
      <alignment horizontal="center" vertical="center"/>
    </xf>
    <xf numFmtId="0" fontId="3" fillId="0" borderId="87" xfId="0" applyFont="1" applyBorder="1" applyAlignment="1" applyProtection="1">
      <alignment horizontal="center" vertical="center"/>
      <protection/>
    </xf>
    <xf numFmtId="0" fontId="7" fillId="0" borderId="87" xfId="0" applyFont="1" applyBorder="1" applyAlignment="1">
      <alignment horizontal="center" vertical="center"/>
    </xf>
    <xf numFmtId="0" fontId="0" fillId="0" borderId="13" xfId="0" applyFont="1" applyBorder="1" applyAlignment="1" applyProtection="1">
      <alignment horizontal="right" vertical="center" wrapText="1"/>
      <protection/>
    </xf>
    <xf numFmtId="0" fontId="30" fillId="0" borderId="13" xfId="0" applyFont="1" applyBorder="1" applyAlignment="1" applyProtection="1">
      <alignment horizontal="left" wrapText="1"/>
      <protection/>
    </xf>
    <xf numFmtId="0" fontId="30" fillId="0" borderId="11" xfId="0" applyFont="1" applyBorder="1" applyAlignment="1" applyProtection="1">
      <alignment horizontal="left" wrapText="1"/>
      <protection/>
    </xf>
    <xf numFmtId="0" fontId="0" fillId="0" borderId="37" xfId="0" applyNumberFormat="1" applyFont="1" applyFill="1" applyBorder="1" applyAlignment="1" applyProtection="1">
      <alignment horizontal="left" wrapText="1"/>
      <protection/>
    </xf>
    <xf numFmtId="1" fontId="0" fillId="0" borderId="0" xfId="0" applyNumberFormat="1" applyFill="1" applyBorder="1" applyAlignment="1" applyProtection="1">
      <alignment horizontal="center"/>
      <protection/>
    </xf>
    <xf numFmtId="0" fontId="0" fillId="0" borderId="10" xfId="0" applyFont="1" applyFill="1" applyBorder="1" applyAlignment="1" applyProtection="1">
      <alignment horizontal="right"/>
      <protection/>
    </xf>
    <xf numFmtId="0" fontId="0" fillId="0" borderId="22" xfId="0" applyFont="1" applyFill="1" applyBorder="1" applyAlignment="1" applyProtection="1">
      <alignment horizontal="right"/>
      <protection/>
    </xf>
    <xf numFmtId="0" fontId="0" fillId="0" borderId="13" xfId="0" applyFont="1" applyFill="1" applyBorder="1" applyAlignment="1" applyProtection="1">
      <alignment horizontal="left"/>
      <protection/>
    </xf>
    <xf numFmtId="0" fontId="0" fillId="0" borderId="22" xfId="0" applyFont="1" applyFill="1" applyBorder="1" applyAlignment="1" applyProtection="1">
      <alignment horizontal="left"/>
      <protection/>
    </xf>
    <xf numFmtId="0" fontId="0" fillId="0" borderId="13" xfId="0" applyFill="1" applyBorder="1" applyAlignment="1" applyProtection="1">
      <alignment horizontal="left"/>
      <protection/>
    </xf>
    <xf numFmtId="0" fontId="0" fillId="0" borderId="22" xfId="0" applyFill="1" applyBorder="1" applyAlignment="1" applyProtection="1">
      <alignment horizontal="left"/>
      <protection/>
    </xf>
    <xf numFmtId="2" fontId="0" fillId="0" borderId="28" xfId="0" applyNumberFormat="1"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locked="0"/>
    </xf>
    <xf numFmtId="0" fontId="0" fillId="0" borderId="13" xfId="0" applyFont="1" applyFill="1" applyBorder="1" applyAlignment="1" applyProtection="1">
      <alignment horizontal="left" wrapText="1"/>
      <protection/>
    </xf>
    <xf numFmtId="0" fontId="0" fillId="0" borderId="22" xfId="0" applyFont="1" applyFill="1" applyBorder="1" applyAlignment="1" applyProtection="1">
      <alignment horizontal="left" wrapText="1"/>
      <protection/>
    </xf>
    <xf numFmtId="0" fontId="1" fillId="0" borderId="16" xfId="0" applyFont="1" applyFill="1" applyBorder="1" applyAlignment="1" applyProtection="1">
      <alignment horizontal="center"/>
      <protection/>
    </xf>
    <xf numFmtId="0" fontId="0" fillId="0" borderId="13" xfId="0"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0" fillId="33" borderId="28" xfId="0" applyNumberFormat="1" applyFont="1" applyFill="1" applyBorder="1" applyAlignment="1" applyProtection="1">
      <alignment horizontal="center" vertical="center"/>
      <protection locked="0"/>
    </xf>
    <xf numFmtId="0" fontId="0" fillId="0" borderId="22" xfId="0" applyBorder="1" applyAlignment="1" applyProtection="1">
      <alignment/>
      <protection/>
    </xf>
    <xf numFmtId="0" fontId="31" fillId="0" borderId="13" xfId="0" applyFont="1" applyBorder="1" applyAlignment="1" applyProtection="1">
      <alignment horizontal="left" wrapText="1"/>
      <protection/>
    </xf>
    <xf numFmtId="0" fontId="31" fillId="0" borderId="11" xfId="0" applyFont="1" applyBorder="1" applyAlignment="1" applyProtection="1">
      <alignment horizontal="left" wrapText="1"/>
      <protection/>
    </xf>
    <xf numFmtId="0" fontId="0" fillId="0" borderId="13"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pplyProtection="1">
      <alignment vertical="center"/>
      <protection/>
    </xf>
    <xf numFmtId="165" fontId="0" fillId="33" borderId="40" xfId="0" applyNumberFormat="1" applyFont="1" applyFill="1" applyBorder="1" applyAlignment="1" applyProtection="1">
      <alignment horizontal="center"/>
      <protection locked="0"/>
    </xf>
    <xf numFmtId="165" fontId="0" fillId="33" borderId="33" xfId="0" applyNumberFormat="1" applyFont="1" applyFill="1" applyBorder="1" applyAlignment="1" applyProtection="1">
      <alignment horizontal="center"/>
      <protection locked="0"/>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1" fontId="1" fillId="0" borderId="42" xfId="0" applyNumberFormat="1" applyFont="1" applyFill="1" applyBorder="1" applyAlignment="1" applyProtection="1">
      <alignment horizontal="center"/>
      <protection/>
    </xf>
    <xf numFmtId="1" fontId="1" fillId="0" borderId="81" xfId="0" applyNumberFormat="1" applyFont="1" applyFill="1" applyBorder="1" applyAlignment="1" applyProtection="1">
      <alignment horizontal="center"/>
      <protection/>
    </xf>
    <xf numFmtId="0" fontId="0" fillId="33" borderId="26" xfId="0" applyFont="1" applyFill="1" applyBorder="1" applyAlignment="1" applyProtection="1">
      <alignment horizontal="center" vertical="center"/>
      <protection locked="0"/>
    </xf>
    <xf numFmtId="0" fontId="0" fillId="0" borderId="75" xfId="0" applyFont="1" applyFill="1" applyBorder="1" applyAlignment="1" applyProtection="1">
      <alignment horizontal="right" vertical="center" wrapText="1"/>
      <protection/>
    </xf>
    <xf numFmtId="0" fontId="0" fillId="0" borderId="61" xfId="0" applyFont="1" applyFill="1" applyBorder="1" applyAlignment="1" applyProtection="1">
      <alignment horizontal="right" vertical="center" wrapText="1"/>
      <protection/>
    </xf>
    <xf numFmtId="0" fontId="0" fillId="33" borderId="14" xfId="0" applyFill="1" applyBorder="1" applyAlignment="1" applyProtection="1">
      <alignment horizontal="center" vertical="center"/>
      <protection locked="0"/>
    </xf>
    <xf numFmtId="0" fontId="0" fillId="0" borderId="66" xfId="0" applyBorder="1" applyAlignment="1" applyProtection="1">
      <alignment/>
      <protection/>
    </xf>
    <xf numFmtId="0" fontId="18" fillId="0" borderId="0" xfId="0" applyFont="1" applyFill="1" applyBorder="1" applyAlignment="1">
      <alignment horizontal="left" vertical="top" wrapText="1"/>
    </xf>
    <xf numFmtId="0" fontId="1" fillId="0" borderId="42" xfId="0" applyFont="1" applyFill="1" applyBorder="1" applyAlignment="1" applyProtection="1">
      <alignment horizontal="center"/>
      <protection/>
    </xf>
    <xf numFmtId="0" fontId="1" fillId="0" borderId="81" xfId="0" applyFont="1" applyFill="1" applyBorder="1" applyAlignment="1" applyProtection="1">
      <alignment horizontal="center"/>
      <protection/>
    </xf>
    <xf numFmtId="165" fontId="0" fillId="33" borderId="82" xfId="0" applyNumberFormat="1" applyFont="1" applyFill="1" applyBorder="1" applyAlignment="1" applyProtection="1">
      <alignment horizontal="center" vertical="center"/>
      <protection locked="0"/>
    </xf>
    <xf numFmtId="165" fontId="0" fillId="33" borderId="83" xfId="0" applyNumberFormat="1" applyFont="1" applyFill="1" applyBorder="1" applyAlignment="1" applyProtection="1">
      <alignment horizontal="center" vertical="center"/>
      <protection locked="0"/>
    </xf>
    <xf numFmtId="3" fontId="0" fillId="0" borderId="14" xfId="0" applyNumberFormat="1" applyBorder="1" applyAlignment="1" applyProtection="1">
      <alignment horizontal="center"/>
      <protection/>
    </xf>
    <xf numFmtId="0" fontId="1" fillId="0" borderId="19" xfId="0" applyFont="1" applyFill="1" applyBorder="1" applyAlignment="1" applyProtection="1">
      <alignment horizontal="right"/>
      <protection/>
    </xf>
    <xf numFmtId="0" fontId="1" fillId="0" borderId="20" xfId="0" applyFont="1" applyFill="1" applyBorder="1" applyAlignment="1" applyProtection="1">
      <alignment horizontal="right"/>
      <protection/>
    </xf>
    <xf numFmtId="0" fontId="1" fillId="0" borderId="0" xfId="0" applyFont="1" applyFill="1" applyBorder="1" applyAlignment="1" applyProtection="1">
      <alignment horizontal="right" wrapText="1"/>
      <protection/>
    </xf>
    <xf numFmtId="0" fontId="1" fillId="0" borderId="88" xfId="0" applyFont="1" applyFill="1" applyBorder="1" applyAlignment="1" applyProtection="1">
      <alignment horizontal="center"/>
      <protection/>
    </xf>
    <xf numFmtId="0" fontId="1" fillId="0" borderId="89" xfId="0" applyFont="1" applyFill="1" applyBorder="1" applyAlignment="1" applyProtection="1">
      <alignment horizontal="center"/>
      <protection/>
    </xf>
    <xf numFmtId="3" fontId="1" fillId="0" borderId="65" xfId="0" applyNumberFormat="1" applyFont="1" applyFill="1" applyBorder="1" applyAlignment="1" applyProtection="1">
      <alignment horizontal="center"/>
      <protection/>
    </xf>
    <xf numFmtId="3" fontId="1" fillId="0" borderId="41" xfId="0" applyNumberFormat="1" applyFont="1" applyFill="1" applyBorder="1" applyAlignment="1" applyProtection="1">
      <alignment horizontal="center"/>
      <protection/>
    </xf>
    <xf numFmtId="3" fontId="1" fillId="0" borderId="64" xfId="0" applyNumberFormat="1" applyFont="1" applyFill="1" applyBorder="1" applyAlignment="1" applyProtection="1">
      <alignment horizontal="center"/>
      <protection/>
    </xf>
    <xf numFmtId="3" fontId="1" fillId="0" borderId="14" xfId="0" applyNumberFormat="1" applyFont="1" applyFill="1" applyBorder="1" applyAlignment="1" applyProtection="1">
      <alignment horizontal="center"/>
      <protection/>
    </xf>
    <xf numFmtId="0" fontId="1" fillId="0" borderId="0" xfId="0" applyFont="1" applyBorder="1" applyAlignment="1">
      <alignment horizontal="center"/>
    </xf>
    <xf numFmtId="0" fontId="1" fillId="0" borderId="0" xfId="0" applyFont="1" applyFill="1" applyBorder="1" applyAlignment="1" applyProtection="1">
      <alignment horizontal="right"/>
      <protection/>
    </xf>
    <xf numFmtId="0" fontId="30" fillId="0" borderId="0" xfId="0" applyFont="1" applyBorder="1" applyAlignment="1" applyProtection="1">
      <alignment horizontal="center" vertical="center" wrapText="1"/>
      <protection locked="0"/>
    </xf>
    <xf numFmtId="0" fontId="30" fillId="0" borderId="22" xfId="0" applyFont="1" applyBorder="1" applyAlignment="1">
      <alignment horizontal="center" vertical="center" wrapText="1"/>
    </xf>
    <xf numFmtId="0" fontId="30" fillId="0" borderId="0" xfId="0" applyFont="1" applyBorder="1" applyAlignment="1">
      <alignment horizontal="center" vertical="center" wrapText="1"/>
    </xf>
    <xf numFmtId="0" fontId="0" fillId="0" borderId="0" xfId="0" applyBorder="1" applyAlignment="1" applyProtection="1">
      <alignment vertical="top" wrapText="1"/>
      <protection/>
    </xf>
    <xf numFmtId="0" fontId="0" fillId="0" borderId="0" xfId="0" applyAlignment="1">
      <alignment vertical="top" wrapText="1"/>
    </xf>
    <xf numFmtId="0" fontId="1" fillId="0" borderId="14" xfId="0" applyFont="1" applyBorder="1" applyAlignment="1">
      <alignment horizontal="center" wrapText="1"/>
    </xf>
    <xf numFmtId="0" fontId="0" fillId="0" borderId="0" xfId="0" applyBorder="1" applyAlignment="1" applyProtection="1">
      <alignment horizontal="left" wrapText="1"/>
      <protection/>
    </xf>
    <xf numFmtId="0" fontId="21" fillId="0" borderId="77"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31" fillId="0" borderId="0" xfId="0" applyFont="1" applyFill="1" applyBorder="1" applyAlignment="1" applyProtection="1">
      <alignment horizontal="center"/>
      <protection/>
    </xf>
    <xf numFmtId="0" fontId="31" fillId="0" borderId="11" xfId="0" applyFont="1" applyFill="1" applyBorder="1" applyAlignment="1" applyProtection="1">
      <alignment horizontal="center"/>
      <protection/>
    </xf>
    <xf numFmtId="0" fontId="0" fillId="0" borderId="48" xfId="0" applyBorder="1" applyAlignment="1" applyProtection="1">
      <alignment horizontal="center"/>
      <protection locked="0"/>
    </xf>
    <xf numFmtId="0" fontId="0" fillId="0" borderId="7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2" xfId="0" applyBorder="1" applyAlignment="1" applyProtection="1">
      <alignment horizontal="center"/>
      <protection locked="0"/>
    </xf>
    <xf numFmtId="0" fontId="2" fillId="35" borderId="90" xfId="0" applyFont="1" applyFill="1" applyBorder="1" applyAlignment="1" applyProtection="1">
      <alignment horizontal="center" vertical="center"/>
      <protection/>
    </xf>
    <xf numFmtId="0" fontId="2" fillId="35" borderId="91" xfId="0" applyFont="1" applyFill="1" applyBorder="1" applyAlignment="1" applyProtection="1">
      <alignment horizontal="center" vertical="center"/>
      <protection/>
    </xf>
    <xf numFmtId="0" fontId="2" fillId="35" borderId="92" xfId="0" applyFont="1" applyFill="1" applyBorder="1" applyAlignment="1" applyProtection="1">
      <alignment horizontal="center" vertical="center"/>
      <protection/>
    </xf>
    <xf numFmtId="0" fontId="23" fillId="0" borderId="12"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1" fillId="0" borderId="60" xfId="0" applyFont="1" applyBorder="1" applyAlignment="1" applyProtection="1">
      <alignment horizontal="center" wrapText="1"/>
      <protection/>
    </xf>
    <xf numFmtId="0" fontId="27" fillId="0" borderId="75" xfId="0" applyFont="1" applyBorder="1" applyAlignment="1" applyProtection="1">
      <alignment horizontal="center" vertical="center"/>
      <protection/>
    </xf>
    <xf numFmtId="0" fontId="27" fillId="0" borderId="61" xfId="0" applyFont="1" applyBorder="1" applyAlignment="1" applyProtection="1">
      <alignment horizontal="center" vertical="center"/>
      <protection/>
    </xf>
    <xf numFmtId="0" fontId="27" fillId="0" borderId="76" xfId="0" applyFont="1" applyBorder="1" applyAlignment="1" applyProtection="1">
      <alignment horizontal="center" vertical="center"/>
      <protection/>
    </xf>
    <xf numFmtId="0" fontId="27" fillId="0" borderId="13"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2"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3" fontId="1" fillId="0" borderId="0" xfId="0" applyNumberFormat="1" applyFont="1" applyFill="1" applyBorder="1" applyAlignment="1" applyProtection="1">
      <alignment horizontal="center" vertical="center"/>
      <protection/>
    </xf>
    <xf numFmtId="0" fontId="1" fillId="0" borderId="11" xfId="0" applyFont="1" applyFill="1" applyBorder="1" applyAlignment="1" applyProtection="1">
      <alignment horizontal="left" vertical="center"/>
      <protection/>
    </xf>
    <xf numFmtId="3" fontId="1" fillId="0" borderId="19" xfId="0" applyNumberFormat="1" applyFont="1" applyFill="1" applyBorder="1" applyAlignment="1" applyProtection="1">
      <alignment horizontal="center"/>
      <protection/>
    </xf>
    <xf numFmtId="3" fontId="1" fillId="0" borderId="20" xfId="0" applyNumberFormat="1" applyFont="1" applyFill="1" applyBorder="1" applyAlignment="1" applyProtection="1">
      <alignment horizontal="center"/>
      <protection/>
    </xf>
    <xf numFmtId="3" fontId="1" fillId="0" borderId="21" xfId="0" applyNumberFormat="1" applyFont="1" applyFill="1" applyBorder="1" applyAlignment="1" applyProtection="1">
      <alignment horizontal="center"/>
      <protection/>
    </xf>
    <xf numFmtId="0" fontId="35" fillId="0" borderId="24" xfId="0" applyFont="1" applyBorder="1" applyAlignment="1" applyProtection="1">
      <alignment horizontal="center" vertical="top"/>
      <protection/>
    </xf>
    <xf numFmtId="0" fontId="35" fillId="0" borderId="25" xfId="0" applyFont="1" applyBorder="1" applyAlignment="1" applyProtection="1">
      <alignment horizontal="center" vertical="top"/>
      <protection/>
    </xf>
    <xf numFmtId="10" fontId="1" fillId="0" borderId="20" xfId="0" applyNumberFormat="1" applyFont="1" applyFill="1" applyBorder="1" applyAlignment="1" applyProtection="1">
      <alignment horizontal="left"/>
      <protection/>
    </xf>
    <xf numFmtId="10" fontId="1" fillId="0" borderId="21" xfId="0" applyNumberFormat="1" applyFont="1" applyFill="1" applyBorder="1" applyAlignment="1" applyProtection="1">
      <alignment horizontal="left"/>
      <protection/>
    </xf>
    <xf numFmtId="167" fontId="0" fillId="0" borderId="0" xfId="57" applyNumberFormat="1" applyFill="1" applyAlignment="1" applyProtection="1">
      <alignment horizontal="left" vertical="top" wrapText="1"/>
      <protection locked="0"/>
    </xf>
    <xf numFmtId="0" fontId="32" fillId="0" borderId="0" xfId="0" applyFont="1" applyFill="1" applyBorder="1" applyAlignment="1" applyProtection="1">
      <alignment horizontal="center" vertical="top" wrapText="1"/>
      <protection/>
    </xf>
    <xf numFmtId="0" fontId="32" fillId="0" borderId="11" xfId="0" applyFont="1" applyFill="1" applyBorder="1" applyAlignment="1" applyProtection="1">
      <alignment horizontal="center" vertical="top" wrapText="1"/>
      <protection/>
    </xf>
    <xf numFmtId="2" fontId="0" fillId="0" borderId="0" xfId="57" applyFont="1" applyFill="1" applyBorder="1" applyAlignment="1" applyProtection="1">
      <alignment horizontal="left" wrapText="1"/>
      <protection locked="0"/>
    </xf>
    <xf numFmtId="0" fontId="13" fillId="0" borderId="1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11" xfId="0" applyFont="1" applyFill="1" applyBorder="1" applyAlignment="1" applyProtection="1">
      <alignment horizontal="center"/>
      <protection/>
    </xf>
    <xf numFmtId="0" fontId="0" fillId="0" borderId="0" xfId="0" applyFont="1" applyFill="1" applyBorder="1" applyAlignment="1" applyProtection="1">
      <alignment horizontal="center" wrapText="1"/>
      <protection locked="0"/>
    </xf>
    <xf numFmtId="0" fontId="10" fillId="0" borderId="37" xfId="0" applyFont="1" applyFill="1" applyBorder="1" applyAlignment="1" applyProtection="1">
      <alignment horizontal="center" wrapText="1"/>
      <protection/>
    </xf>
    <xf numFmtId="0" fontId="10" fillId="0" borderId="35" xfId="0" applyFont="1" applyFill="1" applyBorder="1" applyAlignment="1" applyProtection="1">
      <alignment horizontal="center" wrapText="1"/>
      <protection/>
    </xf>
    <xf numFmtId="0" fontId="10" fillId="0" borderId="93" xfId="0" applyFont="1" applyFill="1" applyBorder="1" applyAlignment="1" applyProtection="1">
      <alignment horizontal="center" wrapText="1"/>
      <protection/>
    </xf>
    <xf numFmtId="0" fontId="10" fillId="0" borderId="13"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10" fillId="0" borderId="11" xfId="0" applyFont="1" applyFill="1" applyBorder="1" applyAlignment="1" applyProtection="1">
      <alignment horizontal="center"/>
      <protection/>
    </xf>
    <xf numFmtId="0" fontId="24" fillId="0" borderId="0" xfId="0" applyFont="1" applyAlignment="1" applyProtection="1">
      <alignment wrapText="1"/>
      <protection/>
    </xf>
    <xf numFmtId="0" fontId="2" fillId="0" borderId="19" xfId="0" applyFont="1" applyFill="1" applyBorder="1" applyAlignment="1" applyProtection="1">
      <alignment horizontal="center"/>
      <protection/>
    </xf>
    <xf numFmtId="0" fontId="0" fillId="0" borderId="21" xfId="0" applyBorder="1" applyAlignment="1">
      <alignment horizontal="center"/>
    </xf>
    <xf numFmtId="0" fontId="2" fillId="0" borderId="19" xfId="0" applyFont="1" applyBorder="1" applyAlignment="1" applyProtection="1">
      <alignment horizontal="center"/>
      <protection/>
    </xf>
    <xf numFmtId="0" fontId="10" fillId="0" borderId="0" xfId="0" applyFont="1" applyAlignment="1">
      <alignment horizontal="center" vertical="top" wrapText="1"/>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0" xfId="0" applyFill="1" applyBorder="1" applyAlignment="1" applyProtection="1">
      <alignment horizontal="right" vertical="center"/>
      <protection/>
    </xf>
    <xf numFmtId="0" fontId="0" fillId="0" borderId="26" xfId="0" applyFill="1" applyBorder="1" applyAlignment="1" applyProtection="1">
      <alignment horizontal="center"/>
      <protection/>
    </xf>
    <xf numFmtId="0" fontId="0" fillId="0" borderId="0" xfId="0" applyBorder="1" applyAlignment="1" applyProtection="1">
      <alignment horizontal="center"/>
      <protection/>
    </xf>
    <xf numFmtId="0" fontId="26" fillId="0" borderId="10" xfId="0" applyFont="1" applyFill="1" applyBorder="1" applyAlignment="1" applyProtection="1">
      <alignment horizontal="center"/>
      <protection/>
    </xf>
    <xf numFmtId="0" fontId="0" fillId="0" borderId="61" xfId="0" applyBorder="1" applyAlignment="1">
      <alignment horizontal="center"/>
    </xf>
    <xf numFmtId="0" fontId="0" fillId="0" borderId="76"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0" fillId="0" borderId="69"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reliminary Plan" xfId="57"/>
    <cellStyle name="Note" xfId="58"/>
    <cellStyle name="Output" xfId="59"/>
    <cellStyle name="Percent" xfId="60"/>
    <cellStyle name="Title" xfId="61"/>
    <cellStyle name="Total" xfId="62"/>
    <cellStyle name="Warning Text" xfId="63"/>
  </cellStyles>
  <dxfs count="3">
    <dxf>
      <font>
        <color indexed="33"/>
      </font>
    </dxf>
    <dxf>
      <font>
        <color indexed="33"/>
      </font>
    </dxf>
    <dxf>
      <font>
        <color indexed="3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3300"/>
      <rgbColor rgb="00993366"/>
      <rgbColor rgb="00FFFFCC"/>
      <rgbColor rgb="00CCFFFF"/>
      <rgbColor rgb="00660066"/>
      <rgbColor rgb="00FF8080"/>
      <rgbColor rgb="000066CC"/>
      <rgbColor rgb="00CCCCFF"/>
      <rgbColor rgb="003737FF"/>
      <rgbColor rgb="00FF0000"/>
      <rgbColor rgb="0000FF00"/>
      <rgbColor rgb="00FF6600"/>
      <rgbColor rgb="00990099"/>
      <rgbColor rgb="00010000"/>
      <rgbColor rgb="00008080"/>
      <rgbColor rgb="00777777"/>
      <rgbColor rgb="0000CCFF"/>
      <rgbColor rgb="00E3FFFF"/>
      <rgbColor rgb="00E5FFE5"/>
      <rgbColor rgb="00FFFABD"/>
      <rgbColor rgb="00ADD6FF"/>
      <rgbColor rgb="00C69EB1"/>
      <rgbColor rgb="00E8D1FF"/>
      <rgbColor rgb="00FFE0C1"/>
      <rgbColor rgb="003366FF"/>
      <rgbColor rgb="0033CCCC"/>
      <rgbColor rgb="0099CC00"/>
      <rgbColor rgb="00FFCC00"/>
      <rgbColor rgb="00FF9900"/>
      <rgbColor rgb="00FF6600"/>
      <rgbColor rgb="00666699"/>
      <rgbColor rgb="00969696"/>
      <rgbColor rgb="00003366"/>
      <rgbColor rgb="00339966"/>
      <rgbColor rgb="00003300"/>
      <rgbColor rgb="00FF66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1190625</xdr:colOff>
      <xdr:row>4</xdr:row>
      <xdr:rowOff>85725</xdr:rowOff>
    </xdr:to>
    <xdr:grpSp>
      <xdr:nvGrpSpPr>
        <xdr:cNvPr id="1" name="Group 15"/>
        <xdr:cNvGrpSpPr>
          <a:grpSpLocks/>
        </xdr:cNvGrpSpPr>
      </xdr:nvGrpSpPr>
      <xdr:grpSpPr>
        <a:xfrm>
          <a:off x="28575" y="9525"/>
          <a:ext cx="1162050" cy="1057275"/>
          <a:chOff x="3" y="2"/>
          <a:chExt cx="122" cy="111"/>
        </a:xfrm>
        <a:solidFill>
          <a:srgbClr val="FFFFFF"/>
        </a:solidFill>
      </xdr:grpSpPr>
      <xdr:pic>
        <xdr:nvPicPr>
          <xdr:cNvPr id="2" name="Picture 16"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17"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18"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twoCellAnchor editAs="oneCell">
    <xdr:from>
      <xdr:col>7</xdr:col>
      <xdr:colOff>142875</xdr:colOff>
      <xdr:row>20</xdr:row>
      <xdr:rowOff>76200</xdr:rowOff>
    </xdr:from>
    <xdr:to>
      <xdr:col>8</xdr:col>
      <xdr:colOff>466725</xdr:colOff>
      <xdr:row>21</xdr:row>
      <xdr:rowOff>171450</xdr:rowOff>
    </xdr:to>
    <xdr:pic>
      <xdr:nvPicPr>
        <xdr:cNvPr id="5" name="CommandButton1"/>
        <xdr:cNvPicPr preferRelativeResize="1">
          <a:picLocks noChangeAspect="1"/>
        </xdr:cNvPicPr>
      </xdr:nvPicPr>
      <xdr:blipFill>
        <a:blip r:embed="rId4"/>
        <a:stretch>
          <a:fillRect/>
        </a:stretch>
      </xdr:blipFill>
      <xdr:spPr>
        <a:xfrm>
          <a:off x="5629275" y="4029075"/>
          <a:ext cx="10668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1190625</xdr:colOff>
      <xdr:row>4</xdr:row>
      <xdr:rowOff>85725</xdr:rowOff>
    </xdr:to>
    <xdr:grpSp>
      <xdr:nvGrpSpPr>
        <xdr:cNvPr id="1" name="Group 49"/>
        <xdr:cNvGrpSpPr>
          <a:grpSpLocks/>
        </xdr:cNvGrpSpPr>
      </xdr:nvGrpSpPr>
      <xdr:grpSpPr>
        <a:xfrm>
          <a:off x="28575" y="9525"/>
          <a:ext cx="1162050" cy="1057275"/>
          <a:chOff x="3" y="2"/>
          <a:chExt cx="122" cy="111"/>
        </a:xfrm>
        <a:solidFill>
          <a:srgbClr val="FFFFFF"/>
        </a:solidFill>
      </xdr:grpSpPr>
      <xdr:pic>
        <xdr:nvPicPr>
          <xdr:cNvPr id="2" name="Picture 50"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51"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52"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1190625</xdr:colOff>
      <xdr:row>4</xdr:row>
      <xdr:rowOff>85725</xdr:rowOff>
    </xdr:to>
    <xdr:grpSp>
      <xdr:nvGrpSpPr>
        <xdr:cNvPr id="1" name="Group 83"/>
        <xdr:cNvGrpSpPr>
          <a:grpSpLocks/>
        </xdr:cNvGrpSpPr>
      </xdr:nvGrpSpPr>
      <xdr:grpSpPr>
        <a:xfrm>
          <a:off x="28575" y="9525"/>
          <a:ext cx="1162050" cy="1057275"/>
          <a:chOff x="3" y="2"/>
          <a:chExt cx="122" cy="111"/>
        </a:xfrm>
        <a:solidFill>
          <a:srgbClr val="FFFFFF"/>
        </a:solidFill>
      </xdr:grpSpPr>
      <xdr:pic>
        <xdr:nvPicPr>
          <xdr:cNvPr id="2" name="Picture 84"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85"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86"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1190625</xdr:colOff>
      <xdr:row>4</xdr:row>
      <xdr:rowOff>85725</xdr:rowOff>
    </xdr:to>
    <xdr:grpSp>
      <xdr:nvGrpSpPr>
        <xdr:cNvPr id="1" name="Group 145"/>
        <xdr:cNvGrpSpPr>
          <a:grpSpLocks/>
        </xdr:cNvGrpSpPr>
      </xdr:nvGrpSpPr>
      <xdr:grpSpPr>
        <a:xfrm>
          <a:off x="28575" y="9525"/>
          <a:ext cx="1162050" cy="1057275"/>
          <a:chOff x="3" y="2"/>
          <a:chExt cx="122" cy="111"/>
        </a:xfrm>
        <a:solidFill>
          <a:srgbClr val="FFFFFF"/>
        </a:solidFill>
      </xdr:grpSpPr>
      <xdr:pic>
        <xdr:nvPicPr>
          <xdr:cNvPr id="2" name="Picture 146"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147"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148"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971550</xdr:colOff>
      <xdr:row>4</xdr:row>
      <xdr:rowOff>85725</xdr:rowOff>
    </xdr:to>
    <xdr:grpSp>
      <xdr:nvGrpSpPr>
        <xdr:cNvPr id="1" name="Group 102"/>
        <xdr:cNvGrpSpPr>
          <a:grpSpLocks/>
        </xdr:cNvGrpSpPr>
      </xdr:nvGrpSpPr>
      <xdr:grpSpPr>
        <a:xfrm>
          <a:off x="28575" y="9525"/>
          <a:ext cx="1162050" cy="1057275"/>
          <a:chOff x="3" y="2"/>
          <a:chExt cx="122" cy="111"/>
        </a:xfrm>
        <a:solidFill>
          <a:srgbClr val="FFFFFF"/>
        </a:solidFill>
      </xdr:grpSpPr>
      <xdr:pic>
        <xdr:nvPicPr>
          <xdr:cNvPr id="2" name="Picture 103"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104"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105"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twoCellAnchor editAs="oneCell">
    <xdr:from>
      <xdr:col>9</xdr:col>
      <xdr:colOff>142875</xdr:colOff>
      <xdr:row>30</xdr:row>
      <xdr:rowOff>38100</xdr:rowOff>
    </xdr:from>
    <xdr:to>
      <xdr:col>10</xdr:col>
      <xdr:colOff>933450</xdr:colOff>
      <xdr:row>31</xdr:row>
      <xdr:rowOff>142875</xdr:rowOff>
    </xdr:to>
    <xdr:pic>
      <xdr:nvPicPr>
        <xdr:cNvPr id="5" name="cmdNetPollutantRemoval"/>
        <xdr:cNvPicPr preferRelativeResize="1">
          <a:picLocks noChangeAspect="1"/>
        </xdr:cNvPicPr>
      </xdr:nvPicPr>
      <xdr:blipFill>
        <a:blip r:embed="rId4"/>
        <a:stretch>
          <a:fillRect/>
        </a:stretch>
      </xdr:blipFill>
      <xdr:spPr>
        <a:xfrm>
          <a:off x="7239000" y="6457950"/>
          <a:ext cx="15525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1190625</xdr:colOff>
      <xdr:row>4</xdr:row>
      <xdr:rowOff>85725</xdr:rowOff>
    </xdr:to>
    <xdr:grpSp>
      <xdr:nvGrpSpPr>
        <xdr:cNvPr id="1" name="Group 12"/>
        <xdr:cNvGrpSpPr>
          <a:grpSpLocks/>
        </xdr:cNvGrpSpPr>
      </xdr:nvGrpSpPr>
      <xdr:grpSpPr>
        <a:xfrm>
          <a:off x="28575" y="9525"/>
          <a:ext cx="1162050" cy="1057275"/>
          <a:chOff x="3" y="2"/>
          <a:chExt cx="122" cy="111"/>
        </a:xfrm>
        <a:solidFill>
          <a:srgbClr val="FFFFFF"/>
        </a:solidFill>
      </xdr:grpSpPr>
      <xdr:pic>
        <xdr:nvPicPr>
          <xdr:cNvPr id="2" name="Picture 13" descr="Wilmington_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 y="64"/>
            <a:ext cx="106" cy="49"/>
          </a:xfrm>
          <a:prstGeom prst="rect">
            <a:avLst/>
          </a:prstGeom>
          <a:noFill/>
          <a:ln w="9525" cmpd="sng">
            <a:noFill/>
          </a:ln>
        </xdr:spPr>
      </xdr:pic>
      <xdr:pic>
        <xdr:nvPicPr>
          <xdr:cNvPr id="3" name="Picture 14" descr="NH_Seal"/>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3" y="2"/>
            <a:ext cx="60" cy="67"/>
          </a:xfrm>
          <a:prstGeom prst="rect">
            <a:avLst/>
          </a:prstGeom>
          <a:noFill/>
          <a:ln w="9525" cmpd="sng">
            <a:noFill/>
          </a:ln>
        </xdr:spPr>
      </xdr:pic>
      <xdr:pic>
        <xdr:nvPicPr>
          <xdr:cNvPr id="4" name="Picture 15" descr="Brunswickcountyseal"/>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64" y="5"/>
            <a:ext cx="61" cy="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C112"/>
  <sheetViews>
    <sheetView showGridLines="0" showRowColHeaders="0" zoomScalePageLayoutView="0" workbookViewId="0" topLeftCell="A10">
      <selection activeCell="H15" sqref="H15:I17"/>
    </sheetView>
  </sheetViews>
  <sheetFormatPr defaultColWidth="9.140625" defaultRowHeight="12.75"/>
  <cols>
    <col min="1" max="1" width="18.57421875" style="81" customWidth="1"/>
    <col min="2" max="2" width="6.57421875" style="81" customWidth="1"/>
    <col min="3" max="3" width="14.421875" style="81" customWidth="1"/>
    <col min="4" max="4" width="7.28125" style="81" customWidth="1"/>
    <col min="5" max="5" width="12.00390625" style="81" customWidth="1"/>
    <col min="6" max="6" width="14.421875" style="81" customWidth="1"/>
    <col min="7" max="7" width="9.00390625" style="81" customWidth="1"/>
    <col min="8" max="8" width="11.140625" style="81" customWidth="1"/>
    <col min="9" max="9" width="9.421875" style="81" customWidth="1"/>
    <col min="10" max="11" width="0" style="80" hidden="1" customWidth="1"/>
    <col min="12" max="12" width="15.140625" style="80" hidden="1" customWidth="1"/>
    <col min="13" max="13" width="16.7109375" style="80" hidden="1" customWidth="1"/>
    <col min="14" max="14" width="10.140625" style="80" hidden="1" customWidth="1"/>
    <col min="15" max="21" width="0" style="80" hidden="1" customWidth="1"/>
    <col min="22" max="130" width="9.140625" style="80" customWidth="1"/>
    <col min="131" max="16384" width="9.140625" style="81" customWidth="1"/>
  </cols>
  <sheetData>
    <row r="1" spans="1:9" ht="13.5" customHeight="1">
      <c r="A1" s="462"/>
      <c r="B1" s="608" t="s">
        <v>2</v>
      </c>
      <c r="C1" s="609"/>
      <c r="D1" s="609"/>
      <c r="E1" s="609"/>
      <c r="F1" s="609"/>
      <c r="G1" s="610"/>
      <c r="H1" s="626" t="s">
        <v>165</v>
      </c>
      <c r="I1" s="624">
        <f>Summary!I1:I2</f>
        <v>0</v>
      </c>
    </row>
    <row r="2" spans="1:9" ht="13.5" customHeight="1">
      <c r="A2" s="89"/>
      <c r="B2" s="611"/>
      <c r="C2" s="612"/>
      <c r="D2" s="612"/>
      <c r="E2" s="612"/>
      <c r="F2" s="612"/>
      <c r="G2" s="613"/>
      <c r="H2" s="627"/>
      <c r="I2" s="625"/>
    </row>
    <row r="3" spans="1:9" ht="25.5" customHeight="1">
      <c r="A3" s="89"/>
      <c r="B3" s="614">
        <f>Summary!B3:G3</f>
        <v>0</v>
      </c>
      <c r="C3" s="615"/>
      <c r="D3" s="615"/>
      <c r="E3" s="615"/>
      <c r="F3" s="615"/>
      <c r="G3" s="616"/>
      <c r="H3" s="96" t="s">
        <v>0</v>
      </c>
      <c r="I3" s="323">
        <f>Summary!I3</f>
        <v>0</v>
      </c>
    </row>
    <row r="4" spans="1:15" ht="24.75" customHeight="1" thickBot="1">
      <c r="A4" s="89"/>
      <c r="B4" s="617">
        <f>Summary!B4:G4</f>
        <v>0</v>
      </c>
      <c r="C4" s="618"/>
      <c r="D4" s="618"/>
      <c r="E4" s="618"/>
      <c r="F4" s="618"/>
      <c r="G4" s="619"/>
      <c r="H4" s="96" t="s">
        <v>1</v>
      </c>
      <c r="I4" s="362">
        <f>Summary!I4</f>
        <v>0</v>
      </c>
      <c r="J4" s="146"/>
      <c r="K4" s="146"/>
      <c r="L4" s="146"/>
      <c r="M4" s="146"/>
      <c r="N4" s="146"/>
      <c r="O4" s="146"/>
    </row>
    <row r="5" spans="1:15" ht="24.75" customHeight="1" thickBot="1" thickTop="1">
      <c r="A5" s="628" t="s">
        <v>166</v>
      </c>
      <c r="B5" s="629"/>
      <c r="C5" s="629"/>
      <c r="D5" s="629"/>
      <c r="E5" s="629"/>
      <c r="F5" s="629"/>
      <c r="G5" s="629"/>
      <c r="H5" s="629"/>
      <c r="I5" s="630"/>
      <c r="J5" s="146"/>
      <c r="K5" s="146"/>
      <c r="L5" s="146"/>
      <c r="M5" s="124"/>
      <c r="N5" s="124"/>
      <c r="O5" s="146"/>
    </row>
    <row r="6" spans="1:15" ht="10.5" customHeight="1" thickTop="1">
      <c r="A6" s="89"/>
      <c r="B6" s="90"/>
      <c r="C6" s="90"/>
      <c r="D6" s="90"/>
      <c r="E6" s="90"/>
      <c r="F6" s="90"/>
      <c r="G6" s="90"/>
      <c r="H6" s="90"/>
      <c r="I6" s="91"/>
      <c r="J6" s="146"/>
      <c r="K6" s="146"/>
      <c r="L6" s="146"/>
      <c r="M6" s="222"/>
      <c r="N6" s="223"/>
      <c r="O6" s="146"/>
    </row>
    <row r="7" spans="1:10" ht="18" customHeight="1">
      <c r="A7" s="89"/>
      <c r="B7" s="620" t="s">
        <v>336</v>
      </c>
      <c r="C7" s="621"/>
      <c r="D7" s="621"/>
      <c r="E7" s="621"/>
      <c r="F7" s="621"/>
      <c r="G7" s="622"/>
      <c r="H7" s="90"/>
      <c r="I7" s="91"/>
      <c r="J7" s="146"/>
    </row>
    <row r="8" spans="1:11" ht="18" customHeight="1">
      <c r="A8" s="89"/>
      <c r="B8" s="415"/>
      <c r="C8" s="416"/>
      <c r="D8" s="463" t="s">
        <v>3</v>
      </c>
      <c r="E8" s="257">
        <f>IF(SUM(F10:F13)=SUM(F15:F17),SUM(F15:F17),"Error")</f>
        <v>0</v>
      </c>
      <c r="F8" s="416" t="s">
        <v>12</v>
      </c>
      <c r="G8" s="464"/>
      <c r="H8" s="90"/>
      <c r="I8" s="91"/>
      <c r="J8" s="146"/>
      <c r="K8" s="423" t="s">
        <v>75</v>
      </c>
    </row>
    <row r="9" spans="1:10" ht="12" customHeight="1">
      <c r="A9" s="89"/>
      <c r="B9" s="169"/>
      <c r="C9" s="90"/>
      <c r="D9" s="121" t="s">
        <v>333</v>
      </c>
      <c r="E9" s="383" t="s">
        <v>29</v>
      </c>
      <c r="F9" s="383" t="s">
        <v>45</v>
      </c>
      <c r="G9" s="152"/>
      <c r="H9" s="90"/>
      <c r="I9" s="91"/>
      <c r="J9" s="146"/>
    </row>
    <row r="10" spans="1:15" ht="12" customHeight="1">
      <c r="A10" s="89"/>
      <c r="B10" s="169"/>
      <c r="C10" s="90"/>
      <c r="D10" s="90"/>
      <c r="E10" s="166" t="s">
        <v>7</v>
      </c>
      <c r="F10" s="421"/>
      <c r="G10" s="152"/>
      <c r="H10" s="637">
        <f>IF(SUM(F10:F13)=E8,"","Warning:  Soil Data does not add up to total site area.")</f>
      </c>
      <c r="I10" s="638"/>
      <c r="J10" s="146"/>
      <c r="K10" s="146"/>
      <c r="L10" s="239" t="s">
        <v>16</v>
      </c>
      <c r="M10" s="148"/>
      <c r="N10" s="148"/>
      <c r="O10" s="146"/>
    </row>
    <row r="11" spans="1:15" ht="12" customHeight="1">
      <c r="A11" s="89"/>
      <c r="B11" s="169"/>
      <c r="C11" s="90"/>
      <c r="D11" s="90"/>
      <c r="E11" s="166" t="s">
        <v>8</v>
      </c>
      <c r="F11" s="420"/>
      <c r="G11" s="152"/>
      <c r="H11" s="637"/>
      <c r="I11" s="638"/>
      <c r="J11" s="146"/>
      <c r="K11" s="146"/>
      <c r="L11" s="240" t="s">
        <v>17</v>
      </c>
      <c r="M11" s="148" t="s">
        <v>18</v>
      </c>
      <c r="N11" s="241" t="s">
        <v>19</v>
      </c>
      <c r="O11" s="146"/>
    </row>
    <row r="12" spans="1:15" ht="12" customHeight="1">
      <c r="A12" s="89"/>
      <c r="B12" s="169"/>
      <c r="C12" s="90"/>
      <c r="D12" s="90"/>
      <c r="E12" s="132" t="s">
        <v>9</v>
      </c>
      <c r="F12" s="420"/>
      <c r="G12" s="152"/>
      <c r="H12" s="637"/>
      <c r="I12" s="638"/>
      <c r="J12" s="226" t="s">
        <v>7</v>
      </c>
      <c r="K12" s="429" t="e">
        <f>F10/$E$8</f>
        <v>#DIV/0!</v>
      </c>
      <c r="L12" s="242">
        <v>30</v>
      </c>
      <c r="M12" s="242">
        <v>39</v>
      </c>
      <c r="N12" s="242">
        <v>98</v>
      </c>
      <c r="O12" s="146"/>
    </row>
    <row r="13" spans="1:15" ht="12" customHeight="1">
      <c r="A13" s="89"/>
      <c r="B13" s="169"/>
      <c r="C13" s="90"/>
      <c r="D13" s="90"/>
      <c r="E13" s="132" t="s">
        <v>10</v>
      </c>
      <c r="F13" s="420"/>
      <c r="G13" s="152"/>
      <c r="H13" s="90"/>
      <c r="I13" s="91"/>
      <c r="J13" s="226" t="s">
        <v>8</v>
      </c>
      <c r="K13" s="429" t="e">
        <f>F11/$E$8</f>
        <v>#DIV/0!</v>
      </c>
      <c r="L13" s="242">
        <v>55</v>
      </c>
      <c r="M13" s="242">
        <v>61</v>
      </c>
      <c r="N13" s="242">
        <v>98</v>
      </c>
      <c r="O13" s="146"/>
    </row>
    <row r="14" spans="1:15" ht="16.5" customHeight="1">
      <c r="A14" s="89"/>
      <c r="B14" s="169"/>
      <c r="C14" s="90"/>
      <c r="D14" s="121" t="s">
        <v>334</v>
      </c>
      <c r="E14" s="414" t="s">
        <v>113</v>
      </c>
      <c r="F14" s="383" t="s">
        <v>45</v>
      </c>
      <c r="G14" s="152"/>
      <c r="H14" s="90"/>
      <c r="I14" s="91"/>
      <c r="J14" s="226" t="s">
        <v>9</v>
      </c>
      <c r="K14" s="429" t="e">
        <f>F12/$E$8</f>
        <v>#DIV/0!</v>
      </c>
      <c r="L14" s="242">
        <v>70</v>
      </c>
      <c r="M14" s="242">
        <v>74</v>
      </c>
      <c r="N14" s="242">
        <v>98</v>
      </c>
      <c r="O14" s="146"/>
    </row>
    <row r="15" spans="1:15" ht="12" customHeight="1">
      <c r="A15" s="89"/>
      <c r="B15" s="169"/>
      <c r="C15" s="90"/>
      <c r="D15" s="623" t="s">
        <v>335</v>
      </c>
      <c r="E15" s="623"/>
      <c r="F15" s="421"/>
      <c r="G15" s="152"/>
      <c r="H15" s="637">
        <f>IF(SUM(F15:F17)=E8,"","Warning:  Landuse Data does not add up to total site area.")</f>
      </c>
      <c r="I15" s="638"/>
      <c r="J15" s="226" t="s">
        <v>10</v>
      </c>
      <c r="K15" s="429" t="e">
        <f>F13/$E$8</f>
        <v>#DIV/0!</v>
      </c>
      <c r="L15" s="242">
        <v>77</v>
      </c>
      <c r="M15" s="242">
        <v>80</v>
      </c>
      <c r="N15" s="242">
        <v>98</v>
      </c>
      <c r="O15" s="146"/>
    </row>
    <row r="16" spans="1:14" ht="12" customHeight="1">
      <c r="A16" s="89"/>
      <c r="B16" s="169"/>
      <c r="C16" s="90"/>
      <c r="D16" s="623" t="s">
        <v>440</v>
      </c>
      <c r="E16" s="623"/>
      <c r="F16" s="420"/>
      <c r="G16" s="152"/>
      <c r="H16" s="637"/>
      <c r="I16" s="638"/>
      <c r="J16" s="146"/>
      <c r="K16" s="238" t="s">
        <v>20</v>
      </c>
      <c r="L16" s="230" t="e">
        <f>ROUND((L12*$K$12)+($K$13*L13)+($K$14*L14)+($K$15*L15),0)</f>
        <v>#DIV/0!</v>
      </c>
      <c r="M16" s="230" t="e">
        <f>ROUND((M12*$K$12)+($K$13*M13)+($K$14*M14)+($K$15*M15),0)</f>
        <v>#DIV/0!</v>
      </c>
      <c r="N16" s="230" t="e">
        <f>ROUND(((N12*$K$12)+($K$13*N13)+($K$14*N14)+($K$15*N15)),0)</f>
        <v>#DIV/0!</v>
      </c>
    </row>
    <row r="17" spans="1:14" ht="12" customHeight="1">
      <c r="A17" s="89"/>
      <c r="B17" s="169"/>
      <c r="C17" s="90"/>
      <c r="D17" s="623" t="s">
        <v>19</v>
      </c>
      <c r="E17" s="623"/>
      <c r="F17" s="420"/>
      <c r="G17" s="152"/>
      <c r="H17" s="637"/>
      <c r="I17" s="638"/>
      <c r="L17" s="428" t="e">
        <f>F16/$E$8</f>
        <v>#DIV/0!</v>
      </c>
      <c r="M17" s="428" t="e">
        <f>F15/$E$8</f>
        <v>#DIV/0!</v>
      </c>
      <c r="N17" s="428" t="e">
        <f>F17/$E$8</f>
        <v>#DIV/0!</v>
      </c>
    </row>
    <row r="18" spans="1:15" ht="18" customHeight="1">
      <c r="A18" s="89"/>
      <c r="B18" s="634" t="s">
        <v>461</v>
      </c>
      <c r="C18" s="635"/>
      <c r="D18" s="635"/>
      <c r="E18" s="635"/>
      <c r="F18" s="635"/>
      <c r="G18" s="636"/>
      <c r="H18" s="90"/>
      <c r="I18" s="91"/>
      <c r="K18" s="430" t="s">
        <v>346</v>
      </c>
      <c r="L18" s="431" t="e">
        <f>(L17*L16)+(M17*M16)+(N17*N16)</f>
        <v>#DIV/0!</v>
      </c>
      <c r="M18" s="108"/>
      <c r="N18" s="108"/>
      <c r="O18" s="146"/>
    </row>
    <row r="19" spans="1:15" ht="14.25" customHeight="1">
      <c r="A19" s="89"/>
      <c r="B19" s="90"/>
      <c r="C19" s="90"/>
      <c r="D19" s="90"/>
      <c r="E19" s="90"/>
      <c r="F19" s="90"/>
      <c r="G19" s="90"/>
      <c r="H19" s="90"/>
      <c r="I19" s="91"/>
      <c r="J19" s="423" t="s">
        <v>77</v>
      </c>
      <c r="O19" s="146"/>
    </row>
    <row r="20" spans="1:14" ht="18">
      <c r="A20" s="89"/>
      <c r="B20" s="633" t="s">
        <v>337</v>
      </c>
      <c r="C20" s="621"/>
      <c r="D20" s="621"/>
      <c r="E20" s="621"/>
      <c r="F20" s="621"/>
      <c r="G20" s="622"/>
      <c r="H20" s="90"/>
      <c r="I20" s="91"/>
      <c r="J20" s="146"/>
      <c r="K20" s="146"/>
      <c r="L20" s="239" t="s">
        <v>16</v>
      </c>
      <c r="M20" s="148"/>
      <c r="N20" s="148"/>
    </row>
    <row r="21" spans="1:14" ht="14.25">
      <c r="A21" s="89"/>
      <c r="B21" s="605" t="s">
        <v>349</v>
      </c>
      <c r="C21" s="606"/>
      <c r="D21" s="606"/>
      <c r="E21" s="606"/>
      <c r="F21" s="606"/>
      <c r="G21" s="607"/>
      <c r="H21" s="90"/>
      <c r="I21" s="91"/>
      <c r="J21" s="146"/>
      <c r="K21" s="146"/>
      <c r="L21" s="240" t="s">
        <v>17</v>
      </c>
      <c r="M21" s="148" t="s">
        <v>18</v>
      </c>
      <c r="N21" s="241" t="s">
        <v>19</v>
      </c>
    </row>
    <row r="22" spans="1:14" ht="15.75" customHeight="1" thickBot="1">
      <c r="A22" s="89"/>
      <c r="B22" s="691" t="s">
        <v>342</v>
      </c>
      <c r="C22" s="692"/>
      <c r="D22" s="692"/>
      <c r="E22" s="692"/>
      <c r="F22" s="693"/>
      <c r="G22" s="694"/>
      <c r="H22" s="90"/>
      <c r="I22" s="91"/>
      <c r="J22" s="226" t="s">
        <v>7</v>
      </c>
      <c r="K22" s="429" t="e">
        <f>F10/$E$8</f>
        <v>#DIV/0!</v>
      </c>
      <c r="L22" s="242">
        <v>30</v>
      </c>
      <c r="M22" s="242">
        <v>39</v>
      </c>
      <c r="N22" s="242">
        <v>98</v>
      </c>
    </row>
    <row r="23" spans="1:14" ht="15" customHeight="1" thickTop="1">
      <c r="A23" s="89"/>
      <c r="B23" s="639" t="s">
        <v>15</v>
      </c>
      <c r="C23" s="640"/>
      <c r="D23" s="640"/>
      <c r="E23" s="640"/>
      <c r="F23" s="419"/>
      <c r="G23" s="152" t="s">
        <v>12</v>
      </c>
      <c r="H23" s="90"/>
      <c r="I23" s="91"/>
      <c r="J23" s="226" t="s">
        <v>8</v>
      </c>
      <c r="K23" s="429" t="e">
        <f>F11/$E$8</f>
        <v>#DIV/0!</v>
      </c>
      <c r="L23" s="242">
        <v>55</v>
      </c>
      <c r="M23" s="242">
        <v>61</v>
      </c>
      <c r="N23" s="242">
        <v>98</v>
      </c>
    </row>
    <row r="24" spans="1:29" ht="15" customHeight="1">
      <c r="A24" s="89"/>
      <c r="B24" s="639" t="s">
        <v>13</v>
      </c>
      <c r="C24" s="640"/>
      <c r="D24" s="640"/>
      <c r="E24" s="640"/>
      <c r="F24" s="420"/>
      <c r="G24" s="152" t="s">
        <v>12</v>
      </c>
      <c r="H24" s="90"/>
      <c r="I24" s="91"/>
      <c r="J24" s="226" t="s">
        <v>9</v>
      </c>
      <c r="K24" s="429" t="e">
        <f>F12/$E$8</f>
        <v>#DIV/0!</v>
      </c>
      <c r="L24" s="242">
        <v>70</v>
      </c>
      <c r="M24" s="242">
        <v>74</v>
      </c>
      <c r="N24" s="242">
        <v>98</v>
      </c>
      <c r="W24" s="641"/>
      <c r="X24" s="642"/>
      <c r="Y24" s="642"/>
      <c r="Z24" s="642"/>
      <c r="AA24" s="642"/>
      <c r="AB24" s="642"/>
      <c r="AC24" s="85"/>
    </row>
    <row r="25" spans="1:29" ht="39" customHeight="1">
      <c r="A25" s="89"/>
      <c r="B25" s="631" t="s">
        <v>439</v>
      </c>
      <c r="C25" s="632"/>
      <c r="D25" s="632"/>
      <c r="E25" s="632"/>
      <c r="F25" s="437"/>
      <c r="G25" s="417" t="s">
        <v>12</v>
      </c>
      <c r="H25" s="90"/>
      <c r="I25" s="91"/>
      <c r="J25" s="226" t="s">
        <v>10</v>
      </c>
      <c r="K25" s="429" t="e">
        <f>F13/$E$8</f>
        <v>#DIV/0!</v>
      </c>
      <c r="L25" s="242">
        <v>77</v>
      </c>
      <c r="M25" s="242">
        <v>80</v>
      </c>
      <c r="N25" s="242">
        <v>98</v>
      </c>
      <c r="O25" s="80" t="s">
        <v>17</v>
      </c>
      <c r="P25" s="80" t="e">
        <f>L27*E8</f>
        <v>#DIV/0!</v>
      </c>
      <c r="W25" s="90"/>
      <c r="X25" s="90"/>
      <c r="Y25" s="90"/>
      <c r="Z25" s="83"/>
      <c r="AA25" s="654"/>
      <c r="AB25" s="653"/>
      <c r="AC25" s="85"/>
    </row>
    <row r="26" spans="1:29" ht="29.25" customHeight="1">
      <c r="A26" s="89"/>
      <c r="B26" s="631" t="s">
        <v>338</v>
      </c>
      <c r="C26" s="632"/>
      <c r="D26" s="632"/>
      <c r="E26" s="632"/>
      <c r="F26" s="437"/>
      <c r="G26" s="417" t="s">
        <v>12</v>
      </c>
      <c r="H26" s="687">
        <f>IF(F28&gt;=0,"","Warning:  Proposed Area does not add up to total site area.")</f>
      </c>
      <c r="I26" s="688"/>
      <c r="J26" s="146"/>
      <c r="K26" s="238" t="s">
        <v>20</v>
      </c>
      <c r="L26" s="230" t="e">
        <f>ROUND((L22*$K$12)+($K$13*L23)+($K$14*L24)+($K$15*L25),0)</f>
        <v>#DIV/0!</v>
      </c>
      <c r="M26" s="230" t="e">
        <f>ROUND((M22*$K$12)+($K$13*M23)+($K$14*M24)+($K$15*M25),0)</f>
        <v>#DIV/0!</v>
      </c>
      <c r="N26" s="230" t="e">
        <f>ROUND(((N22*$K$12)+($K$13*N23)+($K$14*N24)+($K$15*N25)),0)</f>
        <v>#DIV/0!</v>
      </c>
      <c r="O26" s="80" t="s">
        <v>408</v>
      </c>
      <c r="P26" s="80" t="e">
        <f>E8*M27</f>
        <v>#DIV/0!</v>
      </c>
      <c r="W26" s="652"/>
      <c r="X26" s="653"/>
      <c r="Y26" s="656"/>
      <c r="Z26" s="653"/>
      <c r="AA26" s="655"/>
      <c r="AB26" s="653"/>
      <c r="AC26" s="85"/>
    </row>
    <row r="27" spans="1:29" ht="29.25" customHeight="1">
      <c r="A27" s="89"/>
      <c r="B27" s="631" t="s">
        <v>339</v>
      </c>
      <c r="C27" s="632"/>
      <c r="D27" s="632"/>
      <c r="E27" s="632"/>
      <c r="F27" s="437"/>
      <c r="G27" s="417" t="s">
        <v>12</v>
      </c>
      <c r="H27" s="687"/>
      <c r="I27" s="688"/>
      <c r="J27" s="80">
        <f>IF(F33&gt;0,1,0)</f>
        <v>0</v>
      </c>
      <c r="L27" s="428" t="e">
        <f>(F25+((F32*F29)/43560)+F37)/$E$8</f>
        <v>#DIV/0!</v>
      </c>
      <c r="M27" s="428" t="e">
        <f>1-L27-N27</f>
        <v>#DIV/0!</v>
      </c>
      <c r="N27" s="428" t="e">
        <f>(F24+F27+((F29*F31)/43560)+F36)/$E$8</f>
        <v>#DIV/0!</v>
      </c>
      <c r="O27" s="80" t="s">
        <v>409</v>
      </c>
      <c r="P27" s="80" t="e">
        <f>E8-P25-P26-P28</f>
        <v>#DIV/0!</v>
      </c>
      <c r="W27" s="652"/>
      <c r="X27" s="653"/>
      <c r="Y27" s="656"/>
      <c r="Z27" s="653"/>
      <c r="AA27" s="655"/>
      <c r="AB27" s="653"/>
      <c r="AC27" s="85"/>
    </row>
    <row r="28" spans="1:29" ht="16.5" customHeight="1">
      <c r="A28" s="89"/>
      <c r="B28" s="631" t="s">
        <v>341</v>
      </c>
      <c r="C28" s="632"/>
      <c r="D28" s="632"/>
      <c r="E28" s="632"/>
      <c r="F28" s="446">
        <f>IF(K39&gt;0,"",E8-F23-F25-F26-F27)</f>
        <v>0</v>
      </c>
      <c r="G28" s="417" t="s">
        <v>12</v>
      </c>
      <c r="H28" s="687"/>
      <c r="I28" s="688"/>
      <c r="J28" s="80">
        <f>IF(F24&gt;0,1,0)</f>
        <v>0</v>
      </c>
      <c r="K28" s="442" t="s">
        <v>348</v>
      </c>
      <c r="L28" s="231" t="e">
        <f>ROUND((L27*L26)+(M27*M26)+(N27*N26),0)</f>
        <v>#DIV/0!</v>
      </c>
      <c r="M28" s="440" t="s">
        <v>204</v>
      </c>
      <c r="N28" s="445" t="e">
        <f>ROUND(((L27/(L27+M27))*L26)+(M26*(M27/(L27+M27))),0)</f>
        <v>#DIV/0!</v>
      </c>
      <c r="O28" s="80" t="s">
        <v>410</v>
      </c>
      <c r="P28" s="80" t="e">
        <f>E8*N27*(F33+F39)/100</f>
        <v>#DIV/0!</v>
      </c>
      <c r="W28" s="652"/>
      <c r="X28" s="653"/>
      <c r="Y28" s="656"/>
      <c r="Z28" s="653"/>
      <c r="AA28" s="655"/>
      <c r="AB28" s="653"/>
      <c r="AC28" s="85"/>
    </row>
    <row r="29" spans="1:29" ht="15" customHeight="1">
      <c r="A29" s="89"/>
      <c r="B29" s="695" t="s">
        <v>5</v>
      </c>
      <c r="C29" s="696"/>
      <c r="D29" s="696"/>
      <c r="E29" s="696"/>
      <c r="F29" s="421"/>
      <c r="G29" s="152"/>
      <c r="H29" s="659">
        <f>IF(AND(F23+F24+F25+F26+F27&gt;0,F29=0),"Warning: Enter number of lots or clear data and use Commercial section","")</f>
      </c>
      <c r="I29" s="660"/>
      <c r="J29" s="146">
        <f>IF(F29&gt;0,1,0)</f>
        <v>0</v>
      </c>
      <c r="L29" s="243" t="s">
        <v>129</v>
      </c>
      <c r="M29" s="441"/>
      <c r="N29" s="441"/>
      <c r="O29" s="441"/>
      <c r="P29" s="85"/>
      <c r="Q29" s="85"/>
      <c r="R29" s="85"/>
      <c r="S29" s="85"/>
      <c r="T29" s="85"/>
      <c r="U29" s="85"/>
      <c r="W29" s="90"/>
      <c r="X29" s="90"/>
      <c r="Y29" s="90"/>
      <c r="Z29" s="90"/>
      <c r="AA29" s="90"/>
      <c r="AB29" s="90"/>
      <c r="AC29" s="85"/>
    </row>
    <row r="30" spans="1:29" ht="15" customHeight="1">
      <c r="A30" s="89"/>
      <c r="B30" s="695" t="s">
        <v>134</v>
      </c>
      <c r="C30" s="696"/>
      <c r="D30" s="696"/>
      <c r="E30" s="696"/>
      <c r="F30" s="447">
        <f>IF(F29=0,"",(F28/F29)*43560)</f>
      </c>
      <c r="G30" s="152" t="s">
        <v>6</v>
      </c>
      <c r="H30" s="659"/>
      <c r="I30" s="660"/>
      <c r="J30" s="146">
        <f>IF(F23&gt;0,1,0)</f>
        <v>0</v>
      </c>
      <c r="L30" s="105" t="s">
        <v>21</v>
      </c>
      <c r="M30" s="162">
        <f>F33/100</f>
        <v>0</v>
      </c>
      <c r="W30" s="671"/>
      <c r="X30" s="653"/>
      <c r="Y30" s="653"/>
      <c r="Z30" s="653"/>
      <c r="AA30" s="299"/>
      <c r="AB30" s="90"/>
      <c r="AC30" s="85"/>
    </row>
    <row r="31" spans="1:29" ht="15" customHeight="1">
      <c r="A31" s="89"/>
      <c r="B31" s="695" t="s">
        <v>14</v>
      </c>
      <c r="C31" s="696"/>
      <c r="D31" s="696"/>
      <c r="E31" s="696"/>
      <c r="F31" s="432"/>
      <c r="G31" s="152" t="s">
        <v>390</v>
      </c>
      <c r="H31" s="659"/>
      <c r="I31" s="660"/>
      <c r="J31" s="146">
        <f>IF(F25&gt;0,1,0)</f>
        <v>0</v>
      </c>
      <c r="L31" s="443" t="s">
        <v>350</v>
      </c>
      <c r="M31" s="444" t="e">
        <f>ROUND(N28+(((F34+F40)/100)*(98-N28)*(1-(0.5*M30))),0)</f>
        <v>#DIV/0!</v>
      </c>
      <c r="W31" s="90"/>
      <c r="X31" s="90"/>
      <c r="Y31" s="90"/>
      <c r="Z31" s="83"/>
      <c r="AA31" s="90"/>
      <c r="AB31" s="90"/>
      <c r="AC31" s="85"/>
    </row>
    <row r="32" spans="1:29" ht="15" customHeight="1">
      <c r="A32" s="89"/>
      <c r="B32" s="394"/>
      <c r="C32" s="121"/>
      <c r="D32" s="121"/>
      <c r="E32" s="121" t="s">
        <v>391</v>
      </c>
      <c r="F32" s="433"/>
      <c r="G32" s="152" t="s">
        <v>390</v>
      </c>
      <c r="H32" s="659"/>
      <c r="I32" s="660"/>
      <c r="J32" s="146">
        <f>IF(F26&gt;0,1,0)</f>
        <v>0</v>
      </c>
      <c r="W32" s="671"/>
      <c r="X32" s="653"/>
      <c r="Y32" s="653"/>
      <c r="Z32" s="653"/>
      <c r="AA32" s="170"/>
      <c r="AB32" s="90"/>
      <c r="AC32" s="85"/>
    </row>
    <row r="33" spans="1:29" ht="29.25" customHeight="1">
      <c r="A33" s="89"/>
      <c r="B33" s="631" t="s">
        <v>340</v>
      </c>
      <c r="C33" s="665"/>
      <c r="D33" s="665"/>
      <c r="E33" s="665"/>
      <c r="F33" s="287"/>
      <c r="G33" s="417" t="s">
        <v>11</v>
      </c>
      <c r="H33" s="672">
        <f>IF(AND(F33=0,F39=0),"",IF(OR(F39&gt;50,F33&gt;50),"Warning: Total Disconnected Greater Than 50%  - Additional Documentation Required Prior to Approval",IF(AND((F33+F39)&gt;0,(F33+F39)&lt;1),"Warning:  Enter Disconnected Value in Percent (Example - 20%)","")))</f>
      </c>
      <c r="I33" s="673"/>
      <c r="J33" s="146">
        <f>IF(F27&gt;0,1,0)</f>
        <v>0</v>
      </c>
      <c r="L33" s="146" t="s">
        <v>332</v>
      </c>
      <c r="M33" s="146" t="e">
        <f>(1000/L18)-10</f>
        <v>#DIV/0!</v>
      </c>
      <c r="N33" s="146"/>
      <c r="W33" s="85"/>
      <c r="X33" s="85"/>
      <c r="Y33" s="85"/>
      <c r="Z33" s="85"/>
      <c r="AA33" s="85"/>
      <c r="AB33" s="85"/>
      <c r="AC33" s="85"/>
    </row>
    <row r="34" spans="1:14" ht="28.5" customHeight="1" thickBot="1">
      <c r="A34" s="89"/>
      <c r="B34" s="465"/>
      <c r="C34" s="466"/>
      <c r="D34" s="467"/>
      <c r="E34" s="468" t="s">
        <v>345</v>
      </c>
      <c r="F34" s="434">
        <f>IF(E8&gt;0,((F24+((F31*F29)/43560)+F27)/E8)*100,"")</f>
      </c>
      <c r="G34" s="571" t="s">
        <v>11</v>
      </c>
      <c r="H34" s="672"/>
      <c r="I34" s="673"/>
      <c r="J34" s="146">
        <f>IF(F29&gt;0,1,0)</f>
        <v>0</v>
      </c>
      <c r="L34" s="146" t="s">
        <v>347</v>
      </c>
      <c r="M34" s="146" t="e">
        <f>IF(M33*0.2&lt;Summary!E24,((Summary!E24-(0.2*M33))^2)/(Summary!E24+(0.8*M33)),0)</f>
        <v>#DIV/0!</v>
      </c>
      <c r="N34" s="146" t="s">
        <v>28</v>
      </c>
    </row>
    <row r="35" spans="1:29" ht="18.75" customHeight="1" thickBot="1" thickTop="1">
      <c r="A35" s="89"/>
      <c r="B35" s="676" t="s">
        <v>365</v>
      </c>
      <c r="C35" s="677"/>
      <c r="D35" s="677"/>
      <c r="E35" s="677"/>
      <c r="F35" s="677"/>
      <c r="G35" s="678"/>
      <c r="H35" s="674">
        <f>IF(OR((J39+K39)&gt;1,AND(F39&gt;0,F33&gt;0)),"Please fill in either Residential Site Data or Commercial Site Data.  Data should not be duplicated in both areas.","")</f>
      </c>
      <c r="I35" s="675"/>
      <c r="J35" s="418">
        <f>SUM(J27:J34)</f>
        <v>0</v>
      </c>
      <c r="K35" s="146"/>
      <c r="L35" s="146" t="s">
        <v>351</v>
      </c>
      <c r="M35" s="146" t="e">
        <f>IF(M33*0.2&lt;Summary!E25,((Summary!E25-(0.2*M33))^2)/(Summary!E25+(0.8*M33)),0)</f>
        <v>#DIV/0!</v>
      </c>
      <c r="N35" s="146" t="s">
        <v>28</v>
      </c>
      <c r="R35" s="80" t="s">
        <v>411</v>
      </c>
      <c r="V35" s="681"/>
      <c r="W35" s="681"/>
      <c r="X35" s="681"/>
      <c r="Y35" s="681"/>
      <c r="Z35" s="681"/>
      <c r="AA35" s="681"/>
      <c r="AB35" s="681"/>
      <c r="AC35" s="681"/>
    </row>
    <row r="36" spans="1:29" ht="16.5" customHeight="1" thickTop="1">
      <c r="A36" s="89"/>
      <c r="B36" s="422"/>
      <c r="C36" s="469"/>
      <c r="D36" s="469"/>
      <c r="E36" s="470" t="s">
        <v>343</v>
      </c>
      <c r="F36" s="419"/>
      <c r="G36" s="471" t="s">
        <v>12</v>
      </c>
      <c r="H36" s="674"/>
      <c r="I36" s="675"/>
      <c r="J36" s="81">
        <f>IF(F36&gt;0,1,0)</f>
        <v>0</v>
      </c>
      <c r="K36" s="146"/>
      <c r="L36" s="146" t="s">
        <v>356</v>
      </c>
      <c r="M36" s="146" t="e">
        <f>(1000/N28)-10</f>
        <v>#DIV/0!</v>
      </c>
      <c r="N36" s="80" t="s">
        <v>359</v>
      </c>
      <c r="O36" s="80">
        <f>(1000/98)-10</f>
        <v>0.204081632653061</v>
      </c>
      <c r="Q36" s="504" t="s">
        <v>412</v>
      </c>
      <c r="R36" s="505"/>
      <c r="S36" s="506" t="e">
        <f>P25+P26+P28</f>
        <v>#DIV/0!</v>
      </c>
      <c r="V36" s="681"/>
      <c r="W36" s="681"/>
      <c r="X36" s="681"/>
      <c r="Y36" s="681"/>
      <c r="Z36" s="681"/>
      <c r="AA36" s="681"/>
      <c r="AB36" s="681"/>
      <c r="AC36" s="681"/>
    </row>
    <row r="37" spans="1:19" ht="25.5" customHeight="1">
      <c r="A37" s="89"/>
      <c r="B37" s="631" t="s">
        <v>441</v>
      </c>
      <c r="C37" s="632"/>
      <c r="D37" s="632"/>
      <c r="E37" s="632"/>
      <c r="F37" s="437"/>
      <c r="G37" s="417" t="s">
        <v>12</v>
      </c>
      <c r="H37" s="674"/>
      <c r="I37" s="675"/>
      <c r="J37" s="81">
        <f>IF(F37&gt;0,1,0)</f>
        <v>0</v>
      </c>
      <c r="K37" s="146"/>
      <c r="L37" s="146" t="s">
        <v>417</v>
      </c>
      <c r="M37" s="146" t="e">
        <f>(1000/M31)-10</f>
        <v>#DIV/0!</v>
      </c>
      <c r="O37" s="146"/>
      <c r="Q37" s="507" t="s">
        <v>413</v>
      </c>
      <c r="R37" s="85"/>
      <c r="S37" s="508" t="e">
        <f>P28</f>
        <v>#DIV/0!</v>
      </c>
    </row>
    <row r="38" spans="1:19" ht="22.5" customHeight="1">
      <c r="A38" s="89"/>
      <c r="B38" s="631" t="s">
        <v>344</v>
      </c>
      <c r="C38" s="632"/>
      <c r="D38" s="632"/>
      <c r="E38" s="632"/>
      <c r="F38" s="435">
        <f>IF(J39&gt;0,0,E8-F36-F37)</f>
        <v>0</v>
      </c>
      <c r="G38" s="417" t="s">
        <v>12</v>
      </c>
      <c r="H38" s="674"/>
      <c r="I38" s="675"/>
      <c r="J38" s="270">
        <f>SUM(J36:J37)</f>
        <v>0</v>
      </c>
      <c r="K38" s="146"/>
      <c r="L38" s="146" t="s">
        <v>357</v>
      </c>
      <c r="M38" s="146" t="e">
        <f>IF((S43*0.2)&gt;=(Summary!E24),0,((Summary!E24-(0.2*S43))^2)/(Summary!E24+(0.8*S43)))</f>
        <v>#DIV/0!</v>
      </c>
      <c r="N38" s="146" t="s">
        <v>28</v>
      </c>
      <c r="O38" s="146"/>
      <c r="Q38" s="507" t="s">
        <v>414</v>
      </c>
      <c r="R38" s="85"/>
      <c r="S38" s="508" t="e">
        <f>S37/S36</f>
        <v>#DIV/0!</v>
      </c>
    </row>
    <row r="39" spans="1:29" ht="22.5" customHeight="1">
      <c r="A39" s="89"/>
      <c r="B39" s="631" t="s">
        <v>340</v>
      </c>
      <c r="C39" s="665"/>
      <c r="D39" s="665"/>
      <c r="E39" s="665"/>
      <c r="F39" s="287"/>
      <c r="G39" s="417" t="s">
        <v>11</v>
      </c>
      <c r="H39" s="661">
        <f>IF(F38&gt;=0,"","Warning:  Proposed Area does not add up to total site area.")</f>
      </c>
      <c r="I39" s="662"/>
      <c r="J39" s="436">
        <f>IF(J35&gt;0,1,0)</f>
        <v>0</v>
      </c>
      <c r="K39" s="436">
        <f>IF(J38&gt;0,1,0)</f>
        <v>0</v>
      </c>
      <c r="L39" s="80" t="s">
        <v>358</v>
      </c>
      <c r="M39" s="146">
        <f>((Summary!E24-(0.2*O36))^2)/(Summary!E24+(0.8*O36))</f>
        <v>1.2801427319394016</v>
      </c>
      <c r="N39" s="146" t="s">
        <v>28</v>
      </c>
      <c r="O39" s="146"/>
      <c r="Q39" s="507" t="s">
        <v>415</v>
      </c>
      <c r="R39" s="85"/>
      <c r="S39" s="511" t="e">
        <f>N28</f>
        <v>#DIV/0!</v>
      </c>
      <c r="V39" s="681"/>
      <c r="W39" s="681"/>
      <c r="X39" s="681"/>
      <c r="Y39" s="681"/>
      <c r="Z39" s="681"/>
      <c r="AA39" s="681"/>
      <c r="AB39" s="681"/>
      <c r="AC39" s="681"/>
    </row>
    <row r="40" spans="1:29" ht="27.75" customHeight="1">
      <c r="A40" s="89"/>
      <c r="B40" s="689" t="s">
        <v>345</v>
      </c>
      <c r="C40" s="690"/>
      <c r="D40" s="690"/>
      <c r="E40" s="690"/>
      <c r="F40" s="288">
        <f>IF(E8&gt;0,(F36/E8)*100,"")</f>
      </c>
      <c r="G40" s="289" t="s">
        <v>11</v>
      </c>
      <c r="H40" s="661"/>
      <c r="I40" s="662"/>
      <c r="J40" s="146"/>
      <c r="K40" s="146"/>
      <c r="L40" s="146" t="s">
        <v>352</v>
      </c>
      <c r="M40" s="146" t="e">
        <f>IF(0.2*M37&gt;Summary!E25,0,((Summary!E25-(0.2*M37))^2)/(Summary!E25+(0.8*M37)))</f>
        <v>#DIV/0!</v>
      </c>
      <c r="N40" s="146" t="s">
        <v>28</v>
      </c>
      <c r="O40" s="146"/>
      <c r="Q40" s="507" t="s">
        <v>416</v>
      </c>
      <c r="R40" s="85"/>
      <c r="S40" s="508" t="e">
        <f>S39+(S38*(98-S39)*0.5)</f>
        <v>#DIV/0!</v>
      </c>
      <c r="V40" s="393"/>
      <c r="W40" s="393"/>
      <c r="X40" s="393"/>
      <c r="Y40" s="393"/>
      <c r="Z40" s="393"/>
      <c r="AA40" s="393"/>
      <c r="AB40" s="393"/>
      <c r="AC40" s="393"/>
    </row>
    <row r="41" spans="1:29" ht="8.25" customHeight="1" thickBot="1">
      <c r="A41" s="448"/>
      <c r="B41" s="466"/>
      <c r="C41" s="466"/>
      <c r="D41" s="466"/>
      <c r="E41" s="466"/>
      <c r="F41" s="466"/>
      <c r="G41" s="477"/>
      <c r="H41" s="663"/>
      <c r="I41" s="664"/>
      <c r="L41" s="146" t="s">
        <v>353</v>
      </c>
      <c r="M41" s="146" t="e">
        <f>M40-M35</f>
        <v>#DIV/0!</v>
      </c>
      <c r="N41" s="146" t="s">
        <v>28</v>
      </c>
      <c r="Q41" s="507"/>
      <c r="R41" s="85"/>
      <c r="S41" s="508"/>
      <c r="V41" s="682"/>
      <c r="W41" s="682"/>
      <c r="X41" s="682"/>
      <c r="Y41" s="682"/>
      <c r="Z41" s="682"/>
      <c r="AA41" s="682"/>
      <c r="AB41" s="682"/>
      <c r="AC41" s="682"/>
    </row>
    <row r="42" spans="1:29" ht="7.5" customHeight="1" thickTop="1">
      <c r="A42" s="89"/>
      <c r="B42" s="90"/>
      <c r="C42" s="90"/>
      <c r="D42" s="90"/>
      <c r="E42" s="90"/>
      <c r="F42" s="90"/>
      <c r="G42" s="90"/>
      <c r="H42" s="90"/>
      <c r="I42" s="91"/>
      <c r="Q42" s="507"/>
      <c r="R42" s="85"/>
      <c r="S42" s="508"/>
      <c r="V42" s="682"/>
      <c r="W42" s="682"/>
      <c r="X42" s="682"/>
      <c r="Y42" s="682"/>
      <c r="Z42" s="682"/>
      <c r="AA42" s="682"/>
      <c r="AB42" s="682"/>
      <c r="AC42" s="682"/>
    </row>
    <row r="43" spans="1:29" ht="18.75" thickBot="1">
      <c r="A43" s="168" t="s">
        <v>354</v>
      </c>
      <c r="B43" s="90"/>
      <c r="C43" s="90"/>
      <c r="D43" s="90"/>
      <c r="E43" s="90"/>
      <c r="F43" s="90"/>
      <c r="G43" s="666" t="s">
        <v>361</v>
      </c>
      <c r="H43" s="667"/>
      <c r="I43" s="668"/>
      <c r="Q43" s="509" t="s">
        <v>418</v>
      </c>
      <c r="R43" s="376"/>
      <c r="S43" s="510" t="e">
        <f>1000/S40-10</f>
        <v>#DIV/0!</v>
      </c>
      <c r="V43" s="146"/>
      <c r="W43" s="282"/>
      <c r="X43" s="146"/>
      <c r="Y43" s="146"/>
      <c r="Z43" s="146"/>
      <c r="AA43" s="146"/>
      <c r="AB43" s="146"/>
      <c r="AC43" s="146"/>
    </row>
    <row r="44" spans="1:29" ht="18" customHeight="1">
      <c r="A44" s="168"/>
      <c r="B44" s="90"/>
      <c r="C44" s="90"/>
      <c r="D44" s="90"/>
      <c r="E44" s="90"/>
      <c r="F44" s="90"/>
      <c r="G44" s="667"/>
      <c r="H44" s="667"/>
      <c r="I44" s="668"/>
      <c r="V44" s="146"/>
      <c r="W44" s="282"/>
      <c r="X44" s="146"/>
      <c r="Y44" s="146"/>
      <c r="Z44" s="146"/>
      <c r="AA44" s="146"/>
      <c r="AB44" s="146"/>
      <c r="AC44" s="146"/>
    </row>
    <row r="45" spans="1:29" ht="12.75">
      <c r="A45" s="645" t="s">
        <v>355</v>
      </c>
      <c r="B45" s="646"/>
      <c r="C45" s="646"/>
      <c r="D45" s="650">
        <f>IF(E8&gt;0,((M39*P27)+(M38*S36))*43560/12,"")</f>
      </c>
      <c r="E45" s="651"/>
      <c r="F45" s="450" t="s">
        <v>25</v>
      </c>
      <c r="G45" s="667"/>
      <c r="H45" s="667"/>
      <c r="I45" s="668"/>
      <c r="V45" s="146"/>
      <c r="W45" s="683"/>
      <c r="X45" s="683"/>
      <c r="Y45" s="233"/>
      <c r="Z45" s="146"/>
      <c r="AA45" s="293"/>
      <c r="AB45" s="146"/>
      <c r="AC45" s="146"/>
    </row>
    <row r="46" spans="1:29" ht="12.75" customHeight="1">
      <c r="A46" s="392"/>
      <c r="B46" s="181"/>
      <c r="C46" s="413"/>
      <c r="D46" s="450"/>
      <c r="E46" s="181"/>
      <c r="F46" s="450"/>
      <c r="G46" s="667"/>
      <c r="H46" s="667"/>
      <c r="I46" s="668"/>
      <c r="V46" s="683"/>
      <c r="W46" s="684"/>
      <c r="X46" s="684"/>
      <c r="Y46" s="146"/>
      <c r="Z46" s="146"/>
      <c r="AA46" s="146"/>
      <c r="AB46" s="146"/>
      <c r="AC46" s="146"/>
    </row>
    <row r="47" spans="1:29" ht="12.75">
      <c r="A47" s="649" t="s">
        <v>388</v>
      </c>
      <c r="B47" s="646"/>
      <c r="C47" s="646"/>
      <c r="D47" s="651">
        <f>IF(E8&gt;0,IF(M41&gt;0,(M41/12)*43560*E8,0),"")</f>
      </c>
      <c r="E47" s="651"/>
      <c r="F47" s="181" t="s">
        <v>25</v>
      </c>
      <c r="G47" s="667"/>
      <c r="H47" s="667"/>
      <c r="I47" s="668"/>
      <c r="V47" s="146"/>
      <c r="W47" s="146"/>
      <c r="X47" s="226"/>
      <c r="Y47" s="260"/>
      <c r="Z47" s="146"/>
      <c r="AA47" s="146"/>
      <c r="AB47" s="146"/>
      <c r="AC47" s="146"/>
    </row>
    <row r="48" spans="1:29" ht="13.5" thickBot="1">
      <c r="A48" s="452"/>
      <c r="B48" s="451"/>
      <c r="C48" s="451"/>
      <c r="D48" s="453"/>
      <c r="E48" s="453"/>
      <c r="F48" s="451"/>
      <c r="G48" s="669"/>
      <c r="H48" s="669"/>
      <c r="I48" s="670"/>
      <c r="V48" s="146"/>
      <c r="W48" s="146"/>
      <c r="X48" s="226"/>
      <c r="Y48" s="260"/>
      <c r="Z48" s="146"/>
      <c r="AA48" s="146"/>
      <c r="AB48" s="146"/>
      <c r="AC48" s="146"/>
    </row>
    <row r="49" spans="1:29" ht="12.75">
      <c r="A49" s="647"/>
      <c r="B49" s="648"/>
      <c r="C49" s="648"/>
      <c r="D49" s="648"/>
      <c r="E49" s="648"/>
      <c r="F49" s="90"/>
      <c r="G49" s="83"/>
      <c r="H49" s="427"/>
      <c r="I49" s="83"/>
      <c r="V49" s="146"/>
      <c r="W49" s="146"/>
      <c r="X49" s="146"/>
      <c r="Y49" s="146"/>
      <c r="Z49" s="146"/>
      <c r="AA49" s="146"/>
      <c r="AB49" s="146"/>
      <c r="AC49" s="146"/>
    </row>
    <row r="50" spans="1:29" ht="6.75" customHeight="1">
      <c r="A50" s="90"/>
      <c r="B50" s="83"/>
      <c r="C50" s="83"/>
      <c r="D50" s="83"/>
      <c r="E50" s="83"/>
      <c r="F50" s="83"/>
      <c r="G50" s="83"/>
      <c r="H50" s="90"/>
      <c r="I50" s="90"/>
      <c r="V50" s="146"/>
      <c r="W50" s="146"/>
      <c r="X50" s="146"/>
      <c r="Y50" s="146"/>
      <c r="Z50" s="146"/>
      <c r="AA50" s="146"/>
      <c r="AB50" s="146"/>
      <c r="AC50" s="146"/>
    </row>
    <row r="51" spans="1:29" ht="12.75">
      <c r="A51" s="90"/>
      <c r="B51" s="83"/>
      <c r="C51" s="83"/>
      <c r="D51" s="83"/>
      <c r="E51" s="83"/>
      <c r="F51" s="83"/>
      <c r="G51" s="83"/>
      <c r="H51" s="90"/>
      <c r="I51" s="90"/>
      <c r="V51" s="146"/>
      <c r="W51" s="683"/>
      <c r="X51" s="685"/>
      <c r="Y51" s="146"/>
      <c r="Z51" s="146"/>
      <c r="AA51" s="293"/>
      <c r="AB51" s="146"/>
      <c r="AC51" s="146"/>
    </row>
    <row r="52" spans="1:29" ht="8.25" customHeight="1">
      <c r="A52" s="90"/>
      <c r="B52" s="83"/>
      <c r="C52" s="83"/>
      <c r="D52" s="83"/>
      <c r="E52" s="83"/>
      <c r="F52" s="83"/>
      <c r="G52" s="83"/>
      <c r="H52" s="90"/>
      <c r="I52" s="90"/>
      <c r="V52" s="146"/>
      <c r="W52" s="146"/>
      <c r="X52" s="146"/>
      <c r="Y52" s="146"/>
      <c r="Z52" s="146"/>
      <c r="AA52" s="146"/>
      <c r="AB52" s="146"/>
      <c r="AC52" s="146"/>
    </row>
    <row r="53" spans="1:29" ht="12.75">
      <c r="A53" s="90"/>
      <c r="B53" s="83"/>
      <c r="C53" s="83"/>
      <c r="D53" s="83"/>
      <c r="E53" s="83"/>
      <c r="F53" s="83"/>
      <c r="G53" s="83"/>
      <c r="H53" s="90"/>
      <c r="I53" s="90"/>
      <c r="V53" s="146"/>
      <c r="W53" s="146"/>
      <c r="X53" s="226"/>
      <c r="Y53" s="146"/>
      <c r="Z53" s="146"/>
      <c r="AA53" s="146"/>
      <c r="AB53" s="146"/>
      <c r="AC53" s="146"/>
    </row>
    <row r="54" spans="1:29" ht="18.75" customHeight="1">
      <c r="A54" s="83"/>
      <c r="B54" s="83"/>
      <c r="C54" s="83"/>
      <c r="D54" s="83"/>
      <c r="E54" s="83"/>
      <c r="F54" s="83"/>
      <c r="G54" s="83"/>
      <c r="H54" s="83"/>
      <c r="I54" s="83"/>
      <c r="J54" s="85"/>
      <c r="K54" s="85"/>
      <c r="L54" s="85"/>
      <c r="M54" s="85"/>
      <c r="N54" s="85"/>
      <c r="O54" s="85"/>
      <c r="P54" s="85"/>
      <c r="Q54" s="85"/>
      <c r="R54" s="85"/>
      <c r="S54" s="85"/>
      <c r="T54" s="85"/>
      <c r="U54" s="85"/>
      <c r="V54" s="124"/>
      <c r="W54" s="124"/>
      <c r="X54" s="139"/>
      <c r="Y54" s="146"/>
      <c r="Z54" s="146"/>
      <c r="AA54" s="146"/>
      <c r="AB54" s="146"/>
      <c r="AC54" s="146"/>
    </row>
    <row r="55" spans="1:29" ht="2.25" customHeight="1">
      <c r="A55" s="83"/>
      <c r="B55" s="83"/>
      <c r="C55" s="424"/>
      <c r="D55" s="425"/>
      <c r="E55" s="425"/>
      <c r="F55" s="425"/>
      <c r="G55" s="426"/>
      <c r="H55" s="426"/>
      <c r="I55" s="83"/>
      <c r="J55" s="85"/>
      <c r="K55" s="85"/>
      <c r="L55" s="85"/>
      <c r="M55" s="85"/>
      <c r="N55" s="85"/>
      <c r="O55" s="85"/>
      <c r="P55" s="85"/>
      <c r="Q55" s="85"/>
      <c r="R55" s="85"/>
      <c r="S55" s="85"/>
      <c r="T55" s="85"/>
      <c r="U55" s="85"/>
      <c r="V55" s="124"/>
      <c r="W55" s="124"/>
      <c r="X55" s="124"/>
      <c r="Y55" s="146"/>
      <c r="Z55" s="146"/>
      <c r="AA55" s="146"/>
      <c r="AB55" s="146"/>
      <c r="AC55" s="146"/>
    </row>
    <row r="56" spans="1:29" ht="17.25" customHeight="1">
      <c r="A56" s="83"/>
      <c r="B56" s="83"/>
      <c r="C56" s="83"/>
      <c r="D56" s="83"/>
      <c r="E56" s="83"/>
      <c r="F56" s="83"/>
      <c r="G56" s="83"/>
      <c r="H56" s="83"/>
      <c r="I56" s="83"/>
      <c r="J56" s="85"/>
      <c r="K56" s="85"/>
      <c r="L56" s="85"/>
      <c r="M56" s="85"/>
      <c r="N56" s="85"/>
      <c r="O56" s="85"/>
      <c r="P56" s="85"/>
      <c r="Q56" s="85"/>
      <c r="R56" s="85"/>
      <c r="S56" s="85"/>
      <c r="T56" s="85"/>
      <c r="U56" s="85"/>
      <c r="V56" s="124"/>
      <c r="W56" s="686"/>
      <c r="X56" s="686"/>
      <c r="Y56" s="233"/>
      <c r="Z56" s="146"/>
      <c r="AA56" s="146"/>
      <c r="AB56" s="146"/>
      <c r="AC56" s="146"/>
    </row>
    <row r="57" spans="1:29" ht="29.25" customHeight="1">
      <c r="A57" s="657"/>
      <c r="B57" s="658"/>
      <c r="C57" s="658"/>
      <c r="D57" s="658"/>
      <c r="E57" s="658"/>
      <c r="F57" s="658"/>
      <c r="G57" s="658"/>
      <c r="H57" s="658"/>
      <c r="I57" s="658"/>
      <c r="J57" s="85"/>
      <c r="K57" s="85"/>
      <c r="L57" s="85"/>
      <c r="M57" s="85"/>
      <c r="N57" s="85"/>
      <c r="O57" s="85"/>
      <c r="P57" s="85"/>
      <c r="Q57" s="85"/>
      <c r="R57" s="85"/>
      <c r="S57" s="85"/>
      <c r="T57" s="85"/>
      <c r="U57" s="85"/>
      <c r="V57" s="686"/>
      <c r="W57" s="652"/>
      <c r="X57" s="652"/>
      <c r="Y57" s="146"/>
      <c r="Z57" s="146"/>
      <c r="AA57" s="146"/>
      <c r="AB57" s="146"/>
      <c r="AC57" s="146"/>
    </row>
    <row r="58" spans="1:29" ht="14.25" customHeight="1">
      <c r="A58" s="83"/>
      <c r="B58" s="83"/>
      <c r="C58" s="83"/>
      <c r="D58" s="83"/>
      <c r="E58" s="83"/>
      <c r="F58" s="83"/>
      <c r="G58" s="83"/>
      <c r="H58" s="83"/>
      <c r="I58" s="83"/>
      <c r="J58" s="85"/>
      <c r="K58" s="85"/>
      <c r="L58" s="85"/>
      <c r="M58" s="85"/>
      <c r="N58" s="85"/>
      <c r="O58" s="85"/>
      <c r="P58" s="85"/>
      <c r="Q58" s="85"/>
      <c r="R58" s="85"/>
      <c r="S58" s="85"/>
      <c r="T58" s="85"/>
      <c r="U58" s="85"/>
      <c r="V58" s="124"/>
      <c r="W58" s="124"/>
      <c r="X58" s="139"/>
      <c r="Y58" s="260"/>
      <c r="Z58" s="146"/>
      <c r="AA58" s="146"/>
      <c r="AB58" s="146"/>
      <c r="AC58" s="146"/>
    </row>
    <row r="59" spans="1:29" ht="16.5" customHeight="1">
      <c r="A59" s="83"/>
      <c r="B59" s="83"/>
      <c r="C59" s="83"/>
      <c r="D59" s="83"/>
      <c r="E59" s="83"/>
      <c r="F59" s="83"/>
      <c r="G59" s="83"/>
      <c r="H59" s="83"/>
      <c r="I59" s="83"/>
      <c r="V59" s="679"/>
      <c r="W59" s="680"/>
      <c r="X59" s="680"/>
      <c r="Y59" s="680"/>
      <c r="Z59" s="680"/>
      <c r="AA59" s="680"/>
      <c r="AB59" s="680"/>
      <c r="AC59" s="680"/>
    </row>
    <row r="60" spans="22:29" ht="27" customHeight="1">
      <c r="V60" s="680"/>
      <c r="W60" s="680"/>
      <c r="X60" s="680"/>
      <c r="Y60" s="680"/>
      <c r="Z60" s="680"/>
      <c r="AA60" s="680"/>
      <c r="AB60" s="680"/>
      <c r="AC60" s="680"/>
    </row>
    <row r="61" spans="1:14" ht="12.75" hidden="1">
      <c r="A61" s="85"/>
      <c r="B61" s="85"/>
      <c r="C61" s="85"/>
      <c r="D61" s="85"/>
      <c r="E61" s="85"/>
      <c r="F61" s="85"/>
      <c r="G61" s="80"/>
      <c r="H61" s="80"/>
      <c r="I61" s="80"/>
      <c r="L61" s="108"/>
      <c r="M61" s="108"/>
      <c r="N61" s="108"/>
    </row>
    <row r="62" spans="1:9" ht="12.75" hidden="1">
      <c r="A62" s="80"/>
      <c r="B62" s="80"/>
      <c r="C62" s="80"/>
      <c r="D62" s="80"/>
      <c r="E62" s="80"/>
      <c r="F62" s="80"/>
      <c r="G62" s="80"/>
      <c r="H62" s="80"/>
      <c r="I62" s="80"/>
    </row>
    <row r="63" spans="1:12" ht="15.75" hidden="1">
      <c r="A63" s="80"/>
      <c r="B63" s="80"/>
      <c r="C63" s="80"/>
      <c r="D63" s="80"/>
      <c r="E63" s="80"/>
      <c r="F63" s="80"/>
      <c r="G63" s="80"/>
      <c r="H63" s="80"/>
      <c r="I63" s="115"/>
      <c r="L63" s="115" t="s">
        <v>26</v>
      </c>
    </row>
    <row r="64" spans="1:12" ht="12.75" hidden="1">
      <c r="A64" s="643"/>
      <c r="B64" s="644"/>
      <c r="C64" s="164"/>
      <c r="D64" s="165"/>
      <c r="E64" s="80"/>
      <c r="F64" s="80"/>
      <c r="G64" s="80"/>
      <c r="H64" s="80"/>
      <c r="I64" s="115">
        <v>59</v>
      </c>
      <c r="L64" s="115"/>
    </row>
    <row r="65" spans="1:14" ht="15.75" hidden="1">
      <c r="A65" s="80"/>
      <c r="B65" s="80"/>
      <c r="C65" s="80"/>
      <c r="D65" s="80"/>
      <c r="E65" s="80"/>
      <c r="F65" s="80"/>
      <c r="G65" s="80"/>
      <c r="H65" s="80"/>
      <c r="I65" s="115">
        <v>0.6493570722057369</v>
      </c>
      <c r="L65" s="110" t="s">
        <v>27</v>
      </c>
      <c r="M65" s="162" t="e">
        <f>ROUND((L16*(Y26/(Y26+Y27))+(M16*(Y27/(Y27+Y26)))),0)</f>
        <v>#DIV/0!</v>
      </c>
      <c r="N65" s="163" t="s">
        <v>22</v>
      </c>
    </row>
    <row r="66" spans="1:14" ht="12.75" hidden="1">
      <c r="A66" s="80"/>
      <c r="B66" s="80"/>
      <c r="C66" s="80"/>
      <c r="D66" s="80"/>
      <c r="E66" s="80"/>
      <c r="F66" s="80"/>
      <c r="G66" s="80"/>
      <c r="H66" s="80"/>
      <c r="I66" s="115">
        <v>16.459989688763464</v>
      </c>
      <c r="L66" s="110" t="s">
        <v>21</v>
      </c>
      <c r="M66" s="80">
        <f>F33/100</f>
        <v>0</v>
      </c>
      <c r="N66" s="163" t="s">
        <v>23</v>
      </c>
    </row>
    <row r="67" spans="1:10" ht="12.75" hidden="1">
      <c r="A67" s="80"/>
      <c r="B67" s="80"/>
      <c r="C67" s="80"/>
      <c r="D67" s="80"/>
      <c r="E67" s="80"/>
      <c r="F67" s="80"/>
      <c r="G67" s="80"/>
      <c r="H67" s="115"/>
      <c r="I67" s="115"/>
      <c r="J67" s="115"/>
    </row>
    <row r="68" spans="1:10" ht="12.75" hidden="1">
      <c r="A68" s="80"/>
      <c r="B68" s="80"/>
      <c r="C68" s="80"/>
      <c r="D68" s="80"/>
      <c r="E68" s="80"/>
      <c r="F68" s="80"/>
      <c r="G68" s="80"/>
      <c r="H68" s="116" t="s">
        <v>24</v>
      </c>
      <c r="I68" s="115">
        <v>63</v>
      </c>
      <c r="J68" s="115"/>
    </row>
    <row r="69" spans="1:9" ht="12.75">
      <c r="A69" s="80"/>
      <c r="B69" s="80"/>
      <c r="C69" s="80"/>
      <c r="D69" s="80"/>
      <c r="E69" s="80"/>
      <c r="F69" s="80"/>
      <c r="G69" s="80"/>
      <c r="H69" s="80"/>
      <c r="I69" s="80"/>
    </row>
    <row r="70" spans="1:9" ht="12.75">
      <c r="A70" s="80"/>
      <c r="B70" s="80"/>
      <c r="C70" s="80"/>
      <c r="D70" s="80"/>
      <c r="E70" s="80"/>
      <c r="F70" s="80"/>
      <c r="G70" s="80"/>
      <c r="H70" s="80"/>
      <c r="I70" s="80"/>
    </row>
    <row r="71" spans="1:9" ht="12.75">
      <c r="A71" s="80"/>
      <c r="B71" s="80"/>
      <c r="C71" s="80"/>
      <c r="D71" s="80"/>
      <c r="E71" s="80"/>
      <c r="F71" s="80"/>
      <c r="G71" s="80"/>
      <c r="H71" s="80"/>
      <c r="I71" s="80"/>
    </row>
    <row r="73" spans="1:9" ht="12.75">
      <c r="A73" s="80"/>
      <c r="B73" s="80"/>
      <c r="C73" s="80"/>
      <c r="D73" s="80"/>
      <c r="E73" s="80"/>
      <c r="F73" s="80"/>
      <c r="G73" s="80"/>
      <c r="H73" s="80"/>
      <c r="I73" s="80"/>
    </row>
    <row r="74" spans="1:9" ht="12.75">
      <c r="A74" s="80"/>
      <c r="B74" s="80"/>
      <c r="C74" s="80"/>
      <c r="D74" s="80"/>
      <c r="E74" s="80"/>
      <c r="F74" s="80"/>
      <c r="G74" s="80"/>
      <c r="H74" s="80"/>
      <c r="I74" s="80"/>
    </row>
    <row r="75" spans="1:9" ht="12.75">
      <c r="A75" s="80"/>
      <c r="B75" s="80"/>
      <c r="C75" s="80"/>
      <c r="D75" s="80"/>
      <c r="E75" s="80"/>
      <c r="F75" s="80"/>
      <c r="G75" s="80"/>
      <c r="H75" s="80"/>
      <c r="I75" s="80"/>
    </row>
    <row r="76" spans="1:9" ht="12.75">
      <c r="A76" s="80"/>
      <c r="B76" s="80"/>
      <c r="C76" s="80"/>
      <c r="D76" s="80"/>
      <c r="E76" s="80"/>
      <c r="F76" s="80"/>
      <c r="G76" s="80"/>
      <c r="H76" s="80"/>
      <c r="I76" s="80"/>
    </row>
    <row r="77" spans="1:9" ht="12.75">
      <c r="A77" s="80"/>
      <c r="B77" s="80"/>
      <c r="C77" s="80"/>
      <c r="D77" s="80"/>
      <c r="E77" s="80"/>
      <c r="F77" s="80"/>
      <c r="G77" s="80"/>
      <c r="H77" s="80"/>
      <c r="I77" s="80"/>
    </row>
    <row r="78" spans="1:9" ht="12.75">
      <c r="A78" s="80"/>
      <c r="B78" s="80"/>
      <c r="C78" s="80"/>
      <c r="D78" s="80"/>
      <c r="E78" s="80"/>
      <c r="F78" s="80"/>
      <c r="G78" s="80"/>
      <c r="H78" s="80"/>
      <c r="I78" s="80"/>
    </row>
    <row r="79" spans="1:9" ht="12.75">
      <c r="A79" s="80"/>
      <c r="B79" s="80"/>
      <c r="C79" s="80"/>
      <c r="D79" s="80"/>
      <c r="E79" s="80"/>
      <c r="F79" s="80"/>
      <c r="G79" s="80"/>
      <c r="H79" s="80"/>
      <c r="I79" s="80"/>
    </row>
    <row r="80" spans="1:9" ht="12.75">
      <c r="A80" s="80"/>
      <c r="B80" s="80"/>
      <c r="C80" s="80"/>
      <c r="D80" s="80"/>
      <c r="E80" s="80"/>
      <c r="F80" s="80"/>
      <c r="G80" s="80"/>
      <c r="H80" s="80"/>
      <c r="I80" s="80"/>
    </row>
    <row r="81" spans="1:9" ht="12.75">
      <c r="A81" s="80"/>
      <c r="B81" s="80"/>
      <c r="C81" s="80"/>
      <c r="D81" s="80"/>
      <c r="E81" s="80"/>
      <c r="F81" s="80"/>
      <c r="G81" s="80"/>
      <c r="H81" s="80"/>
      <c r="I81" s="80"/>
    </row>
    <row r="82" spans="1:9" ht="12.75">
      <c r="A82" s="80"/>
      <c r="B82" s="80"/>
      <c r="C82" s="80"/>
      <c r="D82" s="80"/>
      <c r="E82" s="80"/>
      <c r="F82" s="80"/>
      <c r="G82" s="80"/>
      <c r="H82" s="80"/>
      <c r="I82" s="80"/>
    </row>
    <row r="83" spans="1:9" ht="12.75">
      <c r="A83" s="80"/>
      <c r="B83" s="80"/>
      <c r="C83" s="80"/>
      <c r="D83" s="80"/>
      <c r="E83" s="80"/>
      <c r="F83" s="80"/>
      <c r="G83" s="80"/>
      <c r="H83" s="80"/>
      <c r="I83" s="80"/>
    </row>
    <row r="84" spans="1:9" ht="12.75">
      <c r="A84" s="80"/>
      <c r="B84" s="80"/>
      <c r="C84" s="80"/>
      <c r="D84" s="80"/>
      <c r="E84" s="80"/>
      <c r="F84" s="80"/>
      <c r="G84" s="80"/>
      <c r="H84" s="80"/>
      <c r="I84" s="80"/>
    </row>
    <row r="85" spans="1:9" ht="12.75">
      <c r="A85" s="80"/>
      <c r="B85" s="80"/>
      <c r="C85" s="80"/>
      <c r="D85" s="80"/>
      <c r="E85" s="80"/>
      <c r="F85" s="80"/>
      <c r="G85" s="80"/>
      <c r="H85" s="80"/>
      <c r="I85" s="80"/>
    </row>
    <row r="86" spans="1:9" ht="12.75">
      <c r="A86" s="80"/>
      <c r="B86" s="80"/>
      <c r="C86" s="80"/>
      <c r="D86" s="80"/>
      <c r="E86" s="80"/>
      <c r="F86" s="80"/>
      <c r="G86" s="80"/>
      <c r="H86" s="80"/>
      <c r="I86" s="80"/>
    </row>
    <row r="87" spans="1:9" ht="12.75">
      <c r="A87" s="80"/>
      <c r="B87" s="80"/>
      <c r="C87" s="80"/>
      <c r="D87" s="80"/>
      <c r="E87" s="80"/>
      <c r="F87" s="80"/>
      <c r="G87" s="80"/>
      <c r="H87" s="80"/>
      <c r="I87" s="80"/>
    </row>
    <row r="88" spans="1:9" ht="12.75">
      <c r="A88" s="80"/>
      <c r="B88" s="80"/>
      <c r="C88" s="80"/>
      <c r="D88" s="80"/>
      <c r="E88" s="80"/>
      <c r="F88" s="80"/>
      <c r="G88" s="80"/>
      <c r="H88" s="80"/>
      <c r="I88" s="80"/>
    </row>
    <row r="89" spans="1:9" ht="12.75">
      <c r="A89" s="80"/>
      <c r="B89" s="80"/>
      <c r="C89" s="80"/>
      <c r="D89" s="80"/>
      <c r="E89" s="80"/>
      <c r="F89" s="80"/>
      <c r="G89" s="80"/>
      <c r="H89" s="80"/>
      <c r="I89" s="80"/>
    </row>
    <row r="90" spans="1:9" ht="12.75">
      <c r="A90" s="80"/>
      <c r="B90" s="80"/>
      <c r="C90" s="80"/>
      <c r="D90" s="80"/>
      <c r="E90" s="80"/>
      <c r="F90" s="80"/>
      <c r="G90" s="80"/>
      <c r="H90" s="80"/>
      <c r="I90" s="80"/>
    </row>
    <row r="91" spans="1:9" ht="12.75">
      <c r="A91" s="80"/>
      <c r="B91" s="80"/>
      <c r="C91" s="80"/>
      <c r="D91" s="80"/>
      <c r="E91" s="80"/>
      <c r="F91" s="80"/>
      <c r="G91" s="80"/>
      <c r="H91" s="80"/>
      <c r="I91" s="80"/>
    </row>
    <row r="92" spans="1:9" ht="12.75">
      <c r="A92" s="80"/>
      <c r="B92" s="80"/>
      <c r="C92" s="80"/>
      <c r="D92" s="80"/>
      <c r="E92" s="80"/>
      <c r="F92" s="80"/>
      <c r="G92" s="80"/>
      <c r="H92" s="80"/>
      <c r="I92" s="80"/>
    </row>
    <row r="93" spans="1:9" ht="12.75">
      <c r="A93" s="80"/>
      <c r="B93" s="80"/>
      <c r="C93" s="80"/>
      <c r="D93" s="80"/>
      <c r="E93" s="80"/>
      <c r="F93" s="80"/>
      <c r="G93" s="80"/>
      <c r="H93" s="80"/>
      <c r="I93" s="80"/>
    </row>
    <row r="94" spans="1:9" ht="12.75">
      <c r="A94" s="80"/>
      <c r="B94" s="80"/>
      <c r="C94" s="80"/>
      <c r="D94" s="80"/>
      <c r="E94" s="80"/>
      <c r="F94" s="80"/>
      <c r="G94" s="80"/>
      <c r="H94" s="80"/>
      <c r="I94" s="80"/>
    </row>
    <row r="95" spans="1:9" ht="12.75">
      <c r="A95" s="80"/>
      <c r="B95" s="80"/>
      <c r="C95" s="80"/>
      <c r="D95" s="80"/>
      <c r="E95" s="80"/>
      <c r="F95" s="80"/>
      <c r="G95" s="80"/>
      <c r="H95" s="80"/>
      <c r="I95" s="80"/>
    </row>
    <row r="96" spans="1:9" ht="12.75">
      <c r="A96" s="80"/>
      <c r="B96" s="80"/>
      <c r="C96" s="80"/>
      <c r="D96" s="80"/>
      <c r="E96" s="80"/>
      <c r="F96" s="80"/>
      <c r="G96" s="80"/>
      <c r="H96" s="80"/>
      <c r="I96" s="80"/>
    </row>
    <row r="97" spans="1:9" ht="12.75">
      <c r="A97" s="80"/>
      <c r="B97" s="80"/>
      <c r="C97" s="80"/>
      <c r="D97" s="80"/>
      <c r="E97" s="80"/>
      <c r="F97" s="80"/>
      <c r="G97" s="80"/>
      <c r="H97" s="80"/>
      <c r="I97" s="80"/>
    </row>
    <row r="98" spans="1:9" ht="12.75">
      <c r="A98" s="80"/>
      <c r="B98" s="80"/>
      <c r="C98" s="80"/>
      <c r="D98" s="80"/>
      <c r="E98" s="80"/>
      <c r="F98" s="80"/>
      <c r="G98" s="80"/>
      <c r="H98" s="80"/>
      <c r="I98" s="80"/>
    </row>
    <row r="99" spans="1:9" ht="12.75">
      <c r="A99" s="80"/>
      <c r="B99" s="80"/>
      <c r="C99" s="80"/>
      <c r="D99" s="80"/>
      <c r="E99" s="80"/>
      <c r="F99" s="80"/>
      <c r="G99" s="80"/>
      <c r="H99" s="80"/>
      <c r="I99" s="80"/>
    </row>
    <row r="100" spans="1:9" ht="12.75">
      <c r="A100" s="80"/>
      <c r="B100" s="80"/>
      <c r="C100" s="80"/>
      <c r="D100" s="80"/>
      <c r="E100" s="80"/>
      <c r="F100" s="80"/>
      <c r="G100" s="80"/>
      <c r="H100" s="80"/>
      <c r="I100" s="80"/>
    </row>
    <row r="101" spans="1:9" ht="12.75">
      <c r="A101" s="80"/>
      <c r="B101" s="80"/>
      <c r="C101" s="80"/>
      <c r="D101" s="80"/>
      <c r="E101" s="80"/>
      <c r="F101" s="80"/>
      <c r="G101" s="80"/>
      <c r="H101" s="80"/>
      <c r="I101" s="80"/>
    </row>
    <row r="102" spans="1:9" ht="12.75">
      <c r="A102" s="80"/>
      <c r="B102" s="80"/>
      <c r="C102" s="80"/>
      <c r="D102" s="80"/>
      <c r="E102" s="80"/>
      <c r="F102" s="80"/>
      <c r="G102" s="80"/>
      <c r="H102" s="80"/>
      <c r="I102" s="80"/>
    </row>
    <row r="103" spans="1:9" ht="12.75">
      <c r="A103" s="80"/>
      <c r="B103" s="80"/>
      <c r="C103" s="80"/>
      <c r="D103" s="80"/>
      <c r="E103" s="80"/>
      <c r="F103" s="80"/>
      <c r="G103" s="80"/>
      <c r="H103" s="80"/>
      <c r="I103" s="80"/>
    </row>
    <row r="104" spans="1:9" ht="12.75">
      <c r="A104" s="80"/>
      <c r="B104" s="80"/>
      <c r="C104" s="80"/>
      <c r="D104" s="80"/>
      <c r="E104" s="80"/>
      <c r="F104" s="80"/>
      <c r="G104" s="80"/>
      <c r="H104" s="80"/>
      <c r="I104" s="80"/>
    </row>
    <row r="105" spans="1:9" ht="12.75">
      <c r="A105" s="80"/>
      <c r="B105" s="80"/>
      <c r="C105" s="80"/>
      <c r="D105" s="80"/>
      <c r="E105" s="80"/>
      <c r="F105" s="80"/>
      <c r="G105" s="80"/>
      <c r="H105" s="80"/>
      <c r="I105" s="80"/>
    </row>
    <row r="106" spans="1:9" ht="12.75">
      <c r="A106" s="80"/>
      <c r="B106" s="80"/>
      <c r="C106" s="80"/>
      <c r="D106" s="80"/>
      <c r="E106" s="80"/>
      <c r="F106" s="80"/>
      <c r="G106" s="80"/>
      <c r="H106" s="80"/>
      <c r="I106" s="80"/>
    </row>
    <row r="107" spans="1:9" ht="12.75">
      <c r="A107" s="80"/>
      <c r="B107" s="80"/>
      <c r="C107" s="80"/>
      <c r="D107" s="80"/>
      <c r="E107" s="80"/>
      <c r="F107" s="80"/>
      <c r="G107" s="80"/>
      <c r="H107" s="80"/>
      <c r="I107" s="80"/>
    </row>
    <row r="108" spans="1:9" ht="12.75">
      <c r="A108" s="80"/>
      <c r="B108" s="80"/>
      <c r="C108" s="80"/>
      <c r="D108" s="80"/>
      <c r="E108" s="80"/>
      <c r="F108" s="80"/>
      <c r="G108" s="80"/>
      <c r="H108" s="80"/>
      <c r="I108" s="80"/>
    </row>
    <row r="109" spans="1:9" ht="12.75">
      <c r="A109" s="80"/>
      <c r="B109" s="80"/>
      <c r="C109" s="80"/>
      <c r="D109" s="80"/>
      <c r="E109" s="80"/>
      <c r="F109" s="80"/>
      <c r="G109" s="80"/>
      <c r="H109" s="80"/>
      <c r="I109" s="80"/>
    </row>
    <row r="110" spans="1:9" ht="12.75">
      <c r="A110" s="80"/>
      <c r="B110" s="80"/>
      <c r="C110" s="80"/>
      <c r="D110" s="80"/>
      <c r="E110" s="80"/>
      <c r="F110" s="80"/>
      <c r="G110" s="80"/>
      <c r="H110" s="80"/>
      <c r="I110" s="80"/>
    </row>
    <row r="111" spans="1:9" ht="12.75">
      <c r="A111" s="80"/>
      <c r="B111" s="80"/>
      <c r="C111" s="80"/>
      <c r="D111" s="80"/>
      <c r="E111" s="80"/>
      <c r="F111" s="80"/>
      <c r="G111" s="80"/>
      <c r="H111" s="80"/>
      <c r="I111" s="80"/>
    </row>
    <row r="112" spans="1:9" ht="12.75">
      <c r="A112" s="80"/>
      <c r="B112" s="80"/>
      <c r="C112" s="80"/>
      <c r="D112" s="80"/>
      <c r="E112" s="80"/>
      <c r="F112" s="80"/>
      <c r="G112" s="80"/>
      <c r="H112" s="80"/>
      <c r="I112" s="80"/>
    </row>
    <row r="113" s="80" customFormat="1" ht="12.75"/>
    <row r="114" s="80" customFormat="1" ht="12.75"/>
    <row r="115" s="80" customFormat="1" ht="12.75"/>
    <row r="116" s="80" customFormat="1" ht="12.75"/>
    <row r="117" s="80" customFormat="1" ht="12.75"/>
    <row r="118" s="80" customFormat="1" ht="12.75"/>
    <row r="119" s="80" customFormat="1" ht="12.75"/>
    <row r="120" s="80" customFormat="1" ht="12.75"/>
    <row r="121" s="80" customFormat="1" ht="12.75"/>
    <row r="122" s="80" customFormat="1" ht="12.75"/>
    <row r="123" s="80" customFormat="1" ht="12.75"/>
    <row r="124" s="80" customFormat="1" ht="12.75"/>
    <row r="125" s="80" customFormat="1" ht="12.75"/>
    <row r="126" s="80" customFormat="1" ht="12.75"/>
    <row r="127" s="80" customFormat="1" ht="12.75"/>
    <row r="128" s="80" customFormat="1" ht="12.75"/>
    <row r="129" s="80" customFormat="1" ht="12.75"/>
    <row r="130" s="80" customFormat="1" ht="12.75"/>
    <row r="131" s="80" customFormat="1" ht="12.75"/>
    <row r="132" s="80" customFormat="1" ht="12.75"/>
    <row r="133" s="80" customFormat="1" ht="12.75"/>
    <row r="134" s="80" customFormat="1" ht="12.75"/>
    <row r="135" s="80" customFormat="1" ht="12.75"/>
    <row r="136" s="80" customFormat="1" ht="12.75"/>
    <row r="137" s="80" customFormat="1" ht="12.75"/>
    <row r="138" s="80" customFormat="1" ht="12.75"/>
    <row r="139" s="80" customFormat="1" ht="12.75"/>
    <row r="140" s="80" customFormat="1" ht="12.75"/>
    <row r="141" s="80" customFormat="1" ht="12.75"/>
    <row r="142" s="80" customFormat="1" ht="12.75"/>
    <row r="143" s="80" customFormat="1" ht="12.75"/>
    <row r="144" s="80" customFormat="1" ht="12.75"/>
    <row r="145" s="80" customFormat="1" ht="12.75"/>
    <row r="146" s="80" customFormat="1" ht="12.75"/>
    <row r="147" s="80" customFormat="1" ht="12.75"/>
    <row r="148" s="80" customFormat="1" ht="12.75"/>
    <row r="149" s="80" customFormat="1" ht="12.75"/>
    <row r="150" s="80" customFormat="1" ht="12.75"/>
    <row r="151" s="80" customFormat="1" ht="12.75"/>
    <row r="152" s="80" customFormat="1" ht="12.75"/>
    <row r="153" s="80" customFormat="1" ht="12.75"/>
    <row r="154" s="80" customFormat="1" ht="12.75"/>
    <row r="155" s="80" customFormat="1" ht="12.75"/>
    <row r="156" s="80" customFormat="1" ht="12.75"/>
    <row r="157" s="80" customFormat="1" ht="12.75"/>
    <row r="158" s="80" customFormat="1" ht="12.75"/>
    <row r="159" s="80" customFormat="1" ht="12.75"/>
    <row r="160" s="80" customFormat="1" ht="12.75"/>
    <row r="161" s="80" customFormat="1" ht="12.75"/>
    <row r="162" s="80" customFormat="1" ht="12.75"/>
    <row r="163" s="80" customFormat="1" ht="12.75"/>
    <row r="164" s="80" customFormat="1" ht="12.75"/>
    <row r="165" s="80" customFormat="1" ht="12.75"/>
    <row r="166" s="80" customFormat="1" ht="12.75"/>
    <row r="167" s="80" customFormat="1" ht="12.75"/>
    <row r="168" s="80" customFormat="1" ht="12.75"/>
    <row r="169" s="80" customFormat="1" ht="12.75"/>
    <row r="170" s="80" customFormat="1" ht="12.75"/>
    <row r="171" s="80" customFormat="1" ht="12.75"/>
    <row r="172" s="80" customFormat="1" ht="12.75"/>
    <row r="173" s="80" customFormat="1" ht="12.75"/>
    <row r="174" s="80" customFormat="1" ht="12.75"/>
    <row r="175" s="80" customFormat="1" ht="12.75"/>
    <row r="176" s="80" customFormat="1" ht="12.75"/>
    <row r="177" s="80" customFormat="1" ht="12.75"/>
    <row r="178" s="80" customFormat="1" ht="12.75"/>
    <row r="179" s="80" customFormat="1" ht="12.75"/>
    <row r="180" s="80" customFormat="1" ht="12.75"/>
    <row r="181" s="80" customFormat="1" ht="12.75"/>
    <row r="182" s="80" customFormat="1" ht="12.75"/>
    <row r="183" s="80" customFormat="1" ht="12.75"/>
    <row r="184" s="80" customFormat="1" ht="12.75"/>
    <row r="185" s="80" customFormat="1" ht="12.75"/>
    <row r="186" s="80" customFormat="1" ht="12.75"/>
    <row r="187" s="80" customFormat="1" ht="12.75"/>
    <row r="188" s="80" customFormat="1" ht="12.75"/>
    <row r="189" s="80" customFormat="1" ht="12.75"/>
    <row r="190" s="80" customFormat="1" ht="12.75"/>
    <row r="191" s="80" customFormat="1" ht="12.75"/>
    <row r="192" s="80" customFormat="1" ht="12.75"/>
    <row r="193" s="80" customFormat="1" ht="12.75"/>
    <row r="194" s="80" customFormat="1" ht="12.75"/>
    <row r="195" s="80" customFormat="1" ht="12.75"/>
    <row r="196" s="80" customFormat="1" ht="12.75"/>
    <row r="197" s="80" customFormat="1" ht="12.75"/>
    <row r="198" s="80" customFormat="1" ht="12.75"/>
    <row r="199" s="80" customFormat="1" ht="12.75"/>
    <row r="200" s="80" customFormat="1" ht="12.75"/>
    <row r="201" s="80" customFormat="1" ht="12.75"/>
    <row r="202" s="80" customFormat="1" ht="12.75"/>
    <row r="203" s="80" customFormat="1" ht="12.75"/>
    <row r="204" s="80" customFormat="1" ht="12.75"/>
    <row r="205" s="80" customFormat="1" ht="12.75"/>
    <row r="206" s="80" customFormat="1" ht="12.75"/>
    <row r="207" s="80" customFormat="1" ht="12.75"/>
    <row r="208" s="80" customFormat="1" ht="12.75"/>
    <row r="209" s="80" customFormat="1" ht="12.75"/>
    <row r="210" s="80" customFormat="1" ht="12.75"/>
    <row r="211" s="80" customFormat="1" ht="12.75"/>
    <row r="212" s="80" customFormat="1" ht="12.75"/>
    <row r="213" s="80" customFormat="1" ht="12.75"/>
    <row r="214" s="80" customFormat="1" ht="12.75"/>
    <row r="215" s="80" customFormat="1" ht="12.75"/>
    <row r="216" s="80" customFormat="1" ht="12.75"/>
    <row r="217" s="80" customFormat="1" ht="12.75"/>
    <row r="218" s="80" customFormat="1" ht="12.75"/>
    <row r="219" s="80" customFormat="1" ht="12.75"/>
    <row r="220" s="80" customFormat="1" ht="12.75"/>
    <row r="221" s="80" customFormat="1" ht="12.75"/>
    <row r="222" s="80" customFormat="1" ht="12.75"/>
    <row r="223" s="80" customFormat="1" ht="12.75"/>
    <row r="224" s="80" customFormat="1" ht="12.75"/>
    <row r="225" s="80" customFormat="1" ht="12.75"/>
    <row r="226" s="80" customFormat="1" ht="12.75"/>
    <row r="227" s="80" customFormat="1" ht="12.75"/>
    <row r="228" s="80" customFormat="1" ht="12.75"/>
    <row r="229" s="80" customFormat="1" ht="12.75"/>
    <row r="230" s="80" customFormat="1" ht="12.75"/>
    <row r="231" s="80" customFormat="1" ht="12.75"/>
    <row r="232" s="80" customFormat="1" ht="12.75"/>
    <row r="233" s="80" customFormat="1" ht="12.75"/>
    <row r="234" s="80" customFormat="1" ht="12.75"/>
    <row r="235" s="80" customFormat="1" ht="12.75"/>
    <row r="236" s="80" customFormat="1" ht="12.75"/>
    <row r="237" s="80" customFormat="1" ht="12.75"/>
    <row r="238" s="80" customFormat="1" ht="12.75"/>
    <row r="239" s="80" customFormat="1" ht="12.75"/>
    <row r="240" s="80" customFormat="1" ht="12.75"/>
    <row r="241" s="80" customFormat="1" ht="12.75"/>
    <row r="242" s="80" customFormat="1" ht="12.75"/>
    <row r="243" s="80" customFormat="1" ht="12.75"/>
    <row r="244" s="80" customFormat="1" ht="12.75"/>
    <row r="245" s="80" customFormat="1" ht="12.75"/>
    <row r="246" s="80" customFormat="1" ht="12.75"/>
    <row r="247" s="80" customFormat="1" ht="12.75"/>
    <row r="248" s="80" customFormat="1" ht="12.75"/>
    <row r="249" s="80" customFormat="1" ht="12.75"/>
    <row r="250" s="80" customFormat="1" ht="12.75"/>
    <row r="251" s="80" customFormat="1" ht="12.75"/>
    <row r="252" s="80" customFormat="1" ht="12.75"/>
    <row r="253" s="80" customFormat="1" ht="12.75"/>
    <row r="254" s="80" customFormat="1" ht="12.75"/>
    <row r="255" s="80" customFormat="1" ht="12.75"/>
    <row r="256" s="80" customFormat="1" ht="12.75"/>
    <row r="257" s="80" customFormat="1" ht="12.75"/>
    <row r="258" s="80" customFormat="1" ht="12.75"/>
    <row r="259" s="80" customFormat="1" ht="12.75"/>
    <row r="260" s="80" customFormat="1" ht="12.75"/>
    <row r="261" s="80" customFormat="1" ht="12.75"/>
    <row r="262" s="80" customFormat="1" ht="12.75"/>
    <row r="263" s="80" customFormat="1" ht="12.75"/>
    <row r="264" s="80" customFormat="1" ht="12.75"/>
    <row r="265" s="80" customFormat="1" ht="12.75"/>
    <row r="266" s="80" customFormat="1" ht="12.75"/>
    <row r="267" s="80" customFormat="1" ht="12.75"/>
    <row r="268" s="80" customFormat="1" ht="12.75"/>
    <row r="269" s="80" customFormat="1" ht="12.75"/>
    <row r="270" s="80" customFormat="1" ht="12.75"/>
    <row r="271" s="80" customFormat="1" ht="12.75"/>
    <row r="272" s="80" customFormat="1" ht="12.75"/>
    <row r="273" s="80" customFormat="1" ht="12.75"/>
    <row r="274" s="80" customFormat="1" ht="12.75"/>
    <row r="275" s="80" customFormat="1" ht="12.75"/>
    <row r="276" s="80" customFormat="1" ht="12.75"/>
    <row r="277" s="80" customFormat="1" ht="12.75"/>
    <row r="278" s="80" customFormat="1" ht="12.75"/>
    <row r="279" s="80" customFormat="1" ht="12.75"/>
    <row r="280" s="80" customFormat="1" ht="12.75"/>
    <row r="281" s="80" customFormat="1" ht="12.75"/>
    <row r="282" s="80" customFormat="1" ht="12.75"/>
    <row r="283" s="80" customFormat="1" ht="12.75"/>
    <row r="284" s="80" customFormat="1" ht="12.75"/>
    <row r="285" s="80" customFormat="1" ht="12.75"/>
    <row r="286" s="80" customFormat="1" ht="12.75"/>
    <row r="287" s="80" customFormat="1" ht="12.75"/>
    <row r="288" s="80" customFormat="1" ht="12.75"/>
    <row r="289" s="80" customFormat="1" ht="12.75"/>
    <row r="290" s="80" customFormat="1" ht="12.75"/>
    <row r="291" s="80" customFormat="1" ht="12.75"/>
    <row r="292" s="80" customFormat="1" ht="12.75"/>
    <row r="293" s="80" customFormat="1" ht="12.75"/>
    <row r="294" s="80" customFormat="1" ht="12.75"/>
    <row r="295" s="80" customFormat="1" ht="12.75"/>
    <row r="296" s="80" customFormat="1" ht="12.75"/>
    <row r="297" s="80" customFormat="1" ht="12.75"/>
    <row r="298" s="80" customFormat="1" ht="12.75"/>
    <row r="299" s="80" customFormat="1" ht="12.75"/>
    <row r="300" s="80" customFormat="1" ht="12.75"/>
    <row r="301" s="80" customFormat="1" ht="12.75"/>
    <row r="302" s="80" customFormat="1" ht="12.75"/>
    <row r="303" s="80" customFormat="1" ht="12.75"/>
    <row r="304" s="80" customFormat="1" ht="12.75"/>
    <row r="305" s="80" customFormat="1" ht="12.75"/>
    <row r="306" s="80" customFormat="1" ht="12.75"/>
    <row r="307" s="80" customFormat="1" ht="12.75"/>
    <row r="308" s="80" customFormat="1" ht="12.75"/>
    <row r="309" s="80" customFormat="1" ht="12.75"/>
    <row r="310" s="80" customFormat="1" ht="12.75"/>
    <row r="311" s="80" customFormat="1" ht="12.75"/>
    <row r="312" s="80" customFormat="1" ht="12.75"/>
    <row r="313" s="80" customFormat="1" ht="12.75"/>
    <row r="314" s="80" customFormat="1" ht="12.75"/>
    <row r="315" s="80" customFormat="1" ht="12.75"/>
    <row r="316" s="80" customFormat="1" ht="12.75"/>
    <row r="317" s="80" customFormat="1" ht="12.75"/>
    <row r="318" s="80" customFormat="1" ht="12.75"/>
    <row r="319" s="80" customFormat="1" ht="12.75"/>
    <row r="320" s="80" customFormat="1" ht="12.75"/>
    <row r="321" s="80" customFormat="1" ht="12.75"/>
    <row r="322" s="80" customFormat="1" ht="12.75"/>
    <row r="323" s="80" customFormat="1" ht="12.75"/>
    <row r="324" s="80" customFormat="1" ht="12.75"/>
    <row r="325" s="80" customFormat="1" ht="12.75"/>
    <row r="326" s="80" customFormat="1" ht="12.75"/>
    <row r="327" s="80" customFormat="1" ht="12.75"/>
    <row r="328" s="80" customFormat="1" ht="12.75"/>
    <row r="329" s="80" customFormat="1" ht="12.75"/>
    <row r="330" s="80" customFormat="1" ht="12.75"/>
    <row r="331" s="80" customFormat="1" ht="12.75"/>
    <row r="332" s="80" customFormat="1" ht="12.75"/>
    <row r="333" s="80" customFormat="1" ht="12.75"/>
    <row r="334" s="80" customFormat="1" ht="12.75"/>
    <row r="335" s="80" customFormat="1" ht="12.75"/>
    <row r="336" s="80" customFormat="1" ht="12.75"/>
    <row r="337" s="80" customFormat="1" ht="12.75"/>
    <row r="338" s="80" customFormat="1" ht="12.75"/>
    <row r="339" s="80" customFormat="1" ht="12.75"/>
    <row r="340" s="80" customFormat="1" ht="12.75"/>
    <row r="341" s="80" customFormat="1" ht="12.75"/>
    <row r="342" s="80" customFormat="1" ht="12.75"/>
    <row r="343" s="80" customFormat="1" ht="12.75"/>
    <row r="344" s="80" customFormat="1" ht="12.75"/>
    <row r="345" s="80" customFormat="1" ht="12.75"/>
    <row r="346" s="80" customFormat="1" ht="12.75"/>
    <row r="347" s="80" customFormat="1" ht="12.75"/>
    <row r="348" s="80" customFormat="1" ht="12.75"/>
    <row r="349" s="80" customFormat="1" ht="12.75"/>
    <row r="350" s="80" customFormat="1" ht="12.75"/>
    <row r="351" s="80" customFormat="1" ht="12.75"/>
    <row r="352" s="80" customFormat="1" ht="12.75"/>
    <row r="353" s="80" customFormat="1" ht="12.75"/>
    <row r="354" s="80" customFormat="1" ht="12.75"/>
    <row r="355" s="80" customFormat="1" ht="12.75"/>
    <row r="356" s="80" customFormat="1" ht="12.75"/>
    <row r="357" s="80" customFormat="1" ht="12.75"/>
    <row r="358" s="80" customFormat="1" ht="12.75"/>
    <row r="359" s="80" customFormat="1" ht="12.75"/>
    <row r="360" s="80" customFormat="1" ht="12.75"/>
    <row r="361" s="80" customFormat="1" ht="12.75"/>
    <row r="362" s="80" customFormat="1" ht="12.75"/>
    <row r="363" s="80" customFormat="1" ht="12.75"/>
    <row r="364" s="80" customFormat="1" ht="12.75"/>
    <row r="365" s="80" customFormat="1" ht="12.75"/>
    <row r="366" s="80" customFormat="1" ht="12.75"/>
    <row r="367" s="80" customFormat="1" ht="12.75"/>
    <row r="368" s="80" customFormat="1" ht="12.75"/>
    <row r="369" s="80" customFormat="1" ht="12.75"/>
    <row r="370" s="80" customFormat="1" ht="12.75"/>
    <row r="371" s="80" customFormat="1" ht="12.75"/>
    <row r="372" s="80" customFormat="1" ht="12.75"/>
    <row r="373" s="80" customFormat="1" ht="12.75"/>
    <row r="374" s="80" customFormat="1" ht="12.75"/>
    <row r="375" s="80" customFormat="1" ht="12.75"/>
    <row r="376" s="80" customFormat="1" ht="12.75"/>
    <row r="377" s="80" customFormat="1" ht="12.75"/>
    <row r="378" s="80" customFormat="1" ht="12.75"/>
    <row r="379" s="80" customFormat="1" ht="12.75"/>
    <row r="380" s="80" customFormat="1" ht="12.75"/>
    <row r="381" s="80" customFormat="1" ht="12.75"/>
    <row r="382" s="80" customFormat="1" ht="12.75"/>
    <row r="383" s="80" customFormat="1" ht="12.75"/>
    <row r="384" s="80" customFormat="1" ht="12.75"/>
    <row r="385" s="80" customFormat="1" ht="12.75"/>
    <row r="386" s="80" customFormat="1" ht="12.75"/>
    <row r="387" s="80" customFormat="1" ht="12.75"/>
    <row r="388" s="80" customFormat="1" ht="12.75"/>
    <row r="389" s="80" customFormat="1" ht="12.75"/>
    <row r="390" s="80" customFormat="1" ht="12.75"/>
    <row r="391" s="80" customFormat="1" ht="12.75"/>
    <row r="392" s="80" customFormat="1" ht="12.75"/>
    <row r="393" s="80" customFormat="1" ht="12.75"/>
    <row r="394" s="80" customFormat="1" ht="12.75"/>
    <row r="395" s="80" customFormat="1" ht="12.75"/>
    <row r="396" s="80" customFormat="1" ht="12.75"/>
    <row r="397" s="80" customFormat="1" ht="12.75"/>
    <row r="398" s="80" customFormat="1" ht="12.75"/>
    <row r="399" s="80" customFormat="1" ht="12.75"/>
    <row r="400" s="80" customFormat="1" ht="12.75"/>
    <row r="401" s="80" customFormat="1" ht="12.75"/>
    <row r="402" s="80" customFormat="1" ht="12.75"/>
    <row r="403" s="80" customFormat="1" ht="12.75"/>
    <row r="404" s="80" customFormat="1" ht="12.75"/>
    <row r="405" s="80" customFormat="1" ht="12.75"/>
    <row r="406" s="80" customFormat="1" ht="12.75"/>
    <row r="407" s="80" customFormat="1" ht="12.75"/>
    <row r="408" s="80" customFormat="1" ht="12.75"/>
    <row r="409" s="80" customFormat="1" ht="12.75"/>
    <row r="410" s="80" customFormat="1" ht="12.75"/>
    <row r="411" s="80" customFormat="1" ht="12.75"/>
    <row r="412" s="80" customFormat="1" ht="12.75"/>
    <row r="413" s="80" customFormat="1" ht="12.75"/>
    <row r="414" s="80" customFormat="1" ht="12.75"/>
    <row r="415" s="80" customFormat="1" ht="12.75"/>
    <row r="416" s="80" customFormat="1" ht="12.75"/>
    <row r="417" s="80" customFormat="1" ht="12.75"/>
    <row r="418" s="80" customFormat="1" ht="12.75"/>
    <row r="419" s="80" customFormat="1" ht="12.75"/>
    <row r="420" s="80" customFormat="1" ht="12.75"/>
    <row r="421" s="80" customFormat="1" ht="12.75"/>
    <row r="422" s="80" customFormat="1" ht="12.75"/>
    <row r="423" s="80" customFormat="1" ht="12.75"/>
    <row r="424" s="80" customFormat="1" ht="12.75"/>
    <row r="425" s="80" customFormat="1" ht="12.75"/>
    <row r="426" s="80" customFormat="1" ht="12.75"/>
    <row r="427" s="80" customFormat="1" ht="12.75"/>
    <row r="428" s="80" customFormat="1" ht="12.75"/>
    <row r="429" s="80" customFormat="1" ht="12.75"/>
    <row r="430" s="80" customFormat="1" ht="12.75"/>
    <row r="431" s="80" customFormat="1" ht="12.75"/>
    <row r="432" s="80" customFormat="1" ht="12.75"/>
    <row r="433" s="80" customFormat="1" ht="12.75"/>
    <row r="434" s="80" customFormat="1" ht="12.75"/>
    <row r="435" s="80" customFormat="1" ht="12.75"/>
    <row r="436" s="80" customFormat="1" ht="12.75"/>
    <row r="437" s="80" customFormat="1" ht="12.75"/>
    <row r="438" s="80" customFormat="1" ht="12.75"/>
    <row r="439" s="80" customFormat="1" ht="12.75"/>
    <row r="440" s="80" customFormat="1" ht="12.75"/>
    <row r="441" s="80" customFormat="1" ht="12.75"/>
    <row r="442" s="80" customFormat="1" ht="12.75"/>
    <row r="443" s="80" customFormat="1" ht="12.75"/>
    <row r="444" s="80" customFormat="1" ht="12.75"/>
    <row r="445" s="80" customFormat="1" ht="12.75"/>
    <row r="446" s="80" customFormat="1" ht="12.75"/>
    <row r="447" s="80" customFormat="1" ht="12.75"/>
    <row r="448" s="80" customFormat="1" ht="12.75"/>
    <row r="449" s="80" customFormat="1" ht="12.75"/>
    <row r="450" s="80" customFormat="1" ht="12.75"/>
    <row r="451" s="80" customFormat="1" ht="12.75"/>
    <row r="452" s="80" customFormat="1" ht="12.75"/>
    <row r="453" s="80" customFormat="1" ht="12.75"/>
    <row r="454" s="80" customFormat="1" ht="12.75"/>
    <row r="455" s="80" customFormat="1" ht="12.75"/>
    <row r="456" s="80" customFormat="1" ht="12.75"/>
    <row r="457" s="80" customFormat="1" ht="12.75"/>
    <row r="458" s="80" customFormat="1" ht="12.75"/>
    <row r="459" s="80" customFormat="1" ht="12.75"/>
    <row r="460" s="80" customFormat="1" ht="12.75"/>
    <row r="461" s="80" customFormat="1" ht="12.75"/>
    <row r="462" s="80" customFormat="1" ht="12.75"/>
    <row r="463" s="80" customFormat="1" ht="12.75"/>
    <row r="464" s="80" customFormat="1" ht="12.75"/>
    <row r="465" s="80" customFormat="1" ht="12.75"/>
    <row r="466" s="80" customFormat="1" ht="12.75"/>
    <row r="467" s="80" customFormat="1" ht="12.75"/>
    <row r="468" s="80" customFormat="1" ht="12.75"/>
    <row r="469" s="80" customFormat="1" ht="12.75"/>
    <row r="470" s="80" customFormat="1" ht="12.75"/>
    <row r="471" s="80" customFormat="1" ht="12.75"/>
    <row r="472" s="80" customFormat="1" ht="12.75"/>
    <row r="473" s="80" customFormat="1" ht="12.75"/>
    <row r="474" s="80" customFormat="1" ht="12.75"/>
    <row r="475" s="80" customFormat="1" ht="12.75"/>
    <row r="476" s="80" customFormat="1" ht="12.75"/>
    <row r="477" s="80" customFormat="1" ht="12.75"/>
    <row r="478" s="80" customFormat="1" ht="12.75"/>
    <row r="479" s="80" customFormat="1" ht="12.75"/>
    <row r="480" s="80" customFormat="1" ht="12.75"/>
    <row r="481" s="80" customFormat="1" ht="12.75"/>
    <row r="482" s="80" customFormat="1" ht="12.75"/>
    <row r="483" s="80" customFormat="1" ht="12.75"/>
    <row r="484" s="80" customFormat="1" ht="12.75"/>
    <row r="485" s="80" customFormat="1" ht="12.75"/>
    <row r="486" s="80" customFormat="1" ht="12.75"/>
    <row r="487" s="80" customFormat="1" ht="12.75"/>
    <row r="488" s="80" customFormat="1" ht="12.75"/>
    <row r="489" s="80" customFormat="1" ht="12.75"/>
    <row r="490" s="80" customFormat="1" ht="12.75"/>
    <row r="491" s="80" customFormat="1" ht="12.75"/>
    <row r="492" s="80" customFormat="1" ht="12.75"/>
    <row r="493" s="80" customFormat="1" ht="12.75"/>
    <row r="494" s="80" customFormat="1" ht="12.75"/>
    <row r="495" s="80" customFormat="1" ht="12.75"/>
    <row r="496" s="80" customFormat="1" ht="12.75"/>
    <row r="497" s="80" customFormat="1" ht="12.75"/>
    <row r="498" s="80" customFormat="1" ht="12.75"/>
    <row r="499" s="80" customFormat="1" ht="12.75"/>
    <row r="500" s="80" customFormat="1" ht="12.75"/>
    <row r="501" s="80" customFormat="1" ht="12.75"/>
    <row r="502" s="80" customFormat="1" ht="12.75"/>
    <row r="503" s="80" customFormat="1" ht="12.75"/>
    <row r="504" s="80" customFormat="1" ht="12.75"/>
    <row r="505" s="80" customFormat="1" ht="12.75"/>
    <row r="506" s="80" customFormat="1" ht="12.75"/>
    <row r="507" s="80" customFormat="1" ht="12.75"/>
    <row r="508" s="80" customFormat="1" ht="12.75"/>
    <row r="509" s="80" customFormat="1" ht="12.75"/>
    <row r="510" s="80" customFormat="1" ht="12.75"/>
    <row r="511" s="80" customFormat="1" ht="12.75"/>
    <row r="512" s="80" customFormat="1" ht="12.75"/>
    <row r="513" s="80" customFormat="1" ht="12.75"/>
    <row r="514" s="80" customFormat="1" ht="12.75"/>
    <row r="515" s="80" customFormat="1" ht="12.75"/>
    <row r="516" s="80" customFormat="1" ht="12.75"/>
    <row r="517" s="80" customFormat="1" ht="12.75"/>
    <row r="518" s="80" customFormat="1" ht="12.75"/>
    <row r="519" s="80" customFormat="1" ht="12.75"/>
    <row r="520" s="80" customFormat="1" ht="12.75"/>
    <row r="521" s="80" customFormat="1" ht="12.75"/>
    <row r="522" s="80" customFormat="1" ht="12.75"/>
    <row r="523" s="80" customFormat="1" ht="12.75"/>
    <row r="524" s="80" customFormat="1" ht="12.75"/>
    <row r="525" s="80" customFormat="1" ht="12.75"/>
    <row r="526" s="80" customFormat="1" ht="12.75"/>
    <row r="527" s="80" customFormat="1" ht="12.75"/>
    <row r="528" s="80" customFormat="1" ht="12.75"/>
    <row r="529" s="80" customFormat="1" ht="12.75"/>
    <row r="530" s="80" customFormat="1" ht="12.75"/>
    <row r="531" s="80" customFormat="1" ht="12.75"/>
    <row r="532" s="80" customFormat="1" ht="12.75"/>
    <row r="533" s="80" customFormat="1" ht="12.75"/>
    <row r="534" s="80" customFormat="1" ht="12.75"/>
    <row r="535" s="80" customFormat="1" ht="12.75"/>
    <row r="536" s="80" customFormat="1" ht="12.75"/>
    <row r="537" s="80" customFormat="1" ht="12.75"/>
    <row r="538" s="80" customFormat="1" ht="12.75"/>
    <row r="539" s="80" customFormat="1" ht="12.75"/>
    <row r="540" s="80" customFormat="1" ht="12.75"/>
    <row r="541" s="80" customFormat="1" ht="12.75"/>
    <row r="542" s="80" customFormat="1" ht="12.75"/>
    <row r="543" s="80" customFormat="1" ht="12.75"/>
    <row r="544" s="80" customFormat="1" ht="12.75"/>
    <row r="545" s="80" customFormat="1" ht="12.75"/>
    <row r="546" s="80" customFormat="1" ht="12.75"/>
    <row r="547" s="80" customFormat="1" ht="12.75"/>
    <row r="548" s="80" customFormat="1" ht="12.75"/>
    <row r="549" s="80" customFormat="1" ht="12.75"/>
    <row r="550" s="80" customFormat="1" ht="12.75"/>
    <row r="551" s="80" customFormat="1" ht="12.75"/>
    <row r="552" s="80" customFormat="1" ht="12.75"/>
    <row r="553" s="80" customFormat="1" ht="12.75"/>
    <row r="554" s="80" customFormat="1" ht="12.75"/>
    <row r="555" s="80" customFormat="1" ht="12.75"/>
    <row r="556" s="80" customFormat="1" ht="12.75"/>
    <row r="557" s="80" customFormat="1" ht="12.75"/>
    <row r="558" s="80" customFormat="1" ht="12.75"/>
    <row r="559" s="80" customFormat="1" ht="12.75"/>
    <row r="560" s="80" customFormat="1" ht="12.75"/>
    <row r="561" s="80" customFormat="1" ht="12.75"/>
    <row r="562" s="80" customFormat="1" ht="12.75"/>
    <row r="563" s="80" customFormat="1" ht="12.75"/>
    <row r="564" s="80" customFormat="1" ht="12.75"/>
    <row r="565" s="80" customFormat="1" ht="12.75"/>
    <row r="566" s="80" customFormat="1" ht="12.75"/>
    <row r="567" s="80" customFormat="1" ht="12.75"/>
    <row r="568" s="80" customFormat="1" ht="12.75"/>
    <row r="569" s="80" customFormat="1" ht="12.75"/>
    <row r="570" s="80" customFormat="1" ht="12.75"/>
    <row r="571" s="80" customFormat="1" ht="12.75"/>
    <row r="572" s="80" customFormat="1" ht="12.75"/>
    <row r="573" s="80" customFormat="1" ht="12.75"/>
    <row r="574" s="80" customFormat="1" ht="12.75"/>
    <row r="575" s="80" customFormat="1" ht="12.75"/>
    <row r="576" s="80" customFormat="1" ht="12.75"/>
    <row r="577" s="80" customFormat="1" ht="12.75"/>
    <row r="578" s="80" customFormat="1" ht="12.75"/>
    <row r="579" s="80" customFormat="1" ht="12.75"/>
    <row r="580" s="80" customFormat="1" ht="12.75"/>
    <row r="581" s="80" customFormat="1" ht="12.75"/>
    <row r="582" s="80" customFormat="1" ht="12.75"/>
    <row r="583" s="80" customFormat="1" ht="12.75"/>
    <row r="584" s="80" customFormat="1" ht="12.75"/>
    <row r="585" s="80" customFormat="1" ht="12.75"/>
    <row r="586" s="80" customFormat="1" ht="12.75"/>
    <row r="587" s="80" customFormat="1" ht="12.75"/>
    <row r="588" s="80" customFormat="1" ht="12.75"/>
    <row r="589" s="80" customFormat="1" ht="12.75"/>
    <row r="590" s="80" customFormat="1" ht="12.75"/>
    <row r="591" s="80" customFormat="1" ht="12.75"/>
    <row r="592" s="80" customFormat="1" ht="12.75"/>
    <row r="593" s="80" customFormat="1" ht="12.75"/>
    <row r="594" s="80" customFormat="1" ht="12.75"/>
    <row r="595" s="80" customFormat="1" ht="12.75"/>
    <row r="596" s="80" customFormat="1" ht="12.75"/>
    <row r="597" s="80" customFormat="1" ht="12.75"/>
    <row r="598" s="80" customFormat="1" ht="12.75"/>
    <row r="599" s="80" customFormat="1" ht="12.75"/>
    <row r="600" s="80" customFormat="1" ht="12.75"/>
    <row r="601" s="80" customFormat="1" ht="12.75"/>
    <row r="602" s="80" customFormat="1" ht="12.75"/>
    <row r="603" s="80" customFormat="1" ht="12.75"/>
    <row r="604" s="80" customFormat="1" ht="12.75"/>
    <row r="605" s="80" customFormat="1" ht="12.75"/>
    <row r="606" s="80" customFormat="1" ht="12.75"/>
    <row r="607" s="80" customFormat="1" ht="12.75"/>
    <row r="608" s="80" customFormat="1" ht="12.75"/>
    <row r="609" s="80" customFormat="1" ht="12.75"/>
    <row r="610" s="80" customFormat="1" ht="12.75"/>
    <row r="611" s="80" customFormat="1" ht="12.75"/>
    <row r="612" s="80" customFormat="1" ht="12.75"/>
    <row r="613" s="80" customFormat="1" ht="12.75"/>
    <row r="614" s="80" customFormat="1" ht="12.75"/>
    <row r="615" s="80" customFormat="1" ht="12.75"/>
    <row r="616" s="80" customFormat="1" ht="12.75"/>
    <row r="617" s="80" customFormat="1" ht="12.75"/>
    <row r="618" s="80" customFormat="1" ht="12.75"/>
    <row r="619" s="80" customFormat="1" ht="12.75"/>
    <row r="620" s="80" customFormat="1" ht="12.75"/>
    <row r="621" s="80" customFormat="1" ht="12.75"/>
    <row r="622" s="80" customFormat="1" ht="12.75"/>
    <row r="623" s="80" customFormat="1" ht="12.75"/>
    <row r="624" s="80" customFormat="1" ht="12.75"/>
    <row r="625" s="80" customFormat="1" ht="12.75"/>
    <row r="626" s="80" customFormat="1" ht="12.75"/>
    <row r="627" s="80" customFormat="1" ht="12.75"/>
    <row r="628" s="80" customFormat="1" ht="12.75"/>
    <row r="629" s="80" customFormat="1" ht="12.75"/>
    <row r="630" s="80" customFormat="1" ht="12.75"/>
    <row r="631" s="80" customFormat="1" ht="12.75"/>
    <row r="632" s="80" customFormat="1" ht="12.75"/>
    <row r="633" s="80" customFormat="1" ht="12.75"/>
    <row r="634" s="80" customFormat="1" ht="12.75"/>
    <row r="635" s="80" customFormat="1" ht="12.75"/>
    <row r="636" s="80" customFormat="1" ht="12.75"/>
    <row r="637" s="80" customFormat="1" ht="12.75"/>
    <row r="638" s="80" customFormat="1" ht="12.75"/>
    <row r="639" s="80" customFormat="1" ht="12.75"/>
    <row r="640" s="80" customFormat="1" ht="12.75"/>
    <row r="641" s="80" customFormat="1" ht="12.75"/>
    <row r="642" s="80" customFormat="1" ht="12.75"/>
    <row r="643" s="80" customFormat="1" ht="12.75"/>
    <row r="644" s="80" customFormat="1" ht="12.75"/>
    <row r="645" s="80" customFormat="1" ht="12.75"/>
    <row r="646" s="80" customFormat="1" ht="12.75"/>
    <row r="647" s="80" customFormat="1" ht="12.75"/>
    <row r="648" s="80" customFormat="1" ht="12.75"/>
    <row r="649" s="80" customFormat="1" ht="12.75"/>
    <row r="650" s="80" customFormat="1" ht="12.75"/>
    <row r="651" s="80" customFormat="1" ht="12.75"/>
    <row r="652" s="80" customFormat="1" ht="12.75"/>
    <row r="653" s="80" customFormat="1" ht="12.75"/>
    <row r="654" s="80" customFormat="1" ht="12.75"/>
    <row r="655" s="80" customFormat="1" ht="12.75"/>
    <row r="656" s="80" customFormat="1" ht="12.75"/>
    <row r="657" s="80" customFormat="1" ht="12.75"/>
    <row r="658" s="80" customFormat="1" ht="12.75"/>
    <row r="659" s="80" customFormat="1" ht="12.75"/>
    <row r="660" s="80" customFormat="1" ht="12.75"/>
    <row r="661" s="80" customFormat="1" ht="12.75"/>
    <row r="662" s="80" customFormat="1" ht="12.75"/>
    <row r="663" s="80" customFormat="1" ht="12.75"/>
    <row r="664" s="80" customFormat="1" ht="12.75"/>
    <row r="665" s="80" customFormat="1" ht="12.75"/>
    <row r="666" s="80" customFormat="1" ht="12.75"/>
    <row r="667" s="80" customFormat="1" ht="12.75"/>
    <row r="668" s="80" customFormat="1" ht="12.75"/>
    <row r="669" s="80" customFormat="1" ht="12.75"/>
    <row r="670" s="80" customFormat="1" ht="12.75"/>
    <row r="671" s="80" customFormat="1" ht="12.75"/>
    <row r="672" s="80" customFormat="1" ht="12.75"/>
    <row r="673" s="80" customFormat="1" ht="12.75"/>
    <row r="674" s="80" customFormat="1" ht="12.75"/>
    <row r="675" s="80" customFormat="1" ht="12.75"/>
    <row r="676" s="80" customFormat="1" ht="12.75"/>
    <row r="677" s="80" customFormat="1" ht="12.75"/>
    <row r="678" s="80" customFormat="1" ht="12.75"/>
    <row r="679" s="80" customFormat="1" ht="12.75"/>
    <row r="680" s="80" customFormat="1" ht="12.75"/>
    <row r="681" s="80" customFormat="1" ht="12.75"/>
    <row r="682" s="80" customFormat="1" ht="12.75"/>
    <row r="683" s="80" customFormat="1" ht="12.75"/>
    <row r="684" s="80" customFormat="1" ht="12.75"/>
    <row r="685" s="80" customFormat="1" ht="12.75"/>
    <row r="686" s="80" customFormat="1" ht="12.75"/>
    <row r="687" s="80" customFormat="1" ht="12.75"/>
    <row r="688" s="80" customFormat="1" ht="12.75"/>
    <row r="689" s="80" customFormat="1" ht="12.75"/>
    <row r="690" s="80" customFormat="1" ht="12.75"/>
    <row r="691" s="80" customFormat="1" ht="12.75"/>
    <row r="692" s="80" customFormat="1" ht="12.75"/>
    <row r="693" s="80" customFormat="1" ht="12.75"/>
    <row r="694" s="80" customFormat="1" ht="12.75"/>
    <row r="695" s="80" customFormat="1" ht="12.75"/>
    <row r="696" s="80" customFormat="1" ht="12.75"/>
    <row r="697" s="80" customFormat="1" ht="12.75"/>
    <row r="698" s="80" customFormat="1" ht="12.75"/>
    <row r="699" s="80" customFormat="1" ht="12.75"/>
    <row r="700" s="80" customFormat="1" ht="12.75"/>
    <row r="701" s="80" customFormat="1" ht="12.75"/>
    <row r="702" s="80" customFormat="1" ht="12.75"/>
    <row r="703" s="80" customFormat="1" ht="12.75"/>
    <row r="704" s="80" customFormat="1" ht="12.75"/>
    <row r="705" s="80" customFormat="1" ht="12.75"/>
    <row r="706" s="80" customFormat="1" ht="12.75"/>
    <row r="707" s="80" customFormat="1" ht="12.75"/>
    <row r="708" s="80" customFormat="1" ht="12.75"/>
    <row r="709" s="80" customFormat="1" ht="12.75"/>
    <row r="710" s="80" customFormat="1" ht="12.75"/>
    <row r="711" s="80" customFormat="1" ht="12.75"/>
    <row r="712" s="80" customFormat="1" ht="12.75"/>
  </sheetData>
  <sheetProtection password="CA67" sheet="1" objects="1" scenarios="1" formatCells="0" formatRows="0"/>
  <mergeCells count="66">
    <mergeCell ref="H26:I28"/>
    <mergeCell ref="B40:E40"/>
    <mergeCell ref="B22:G22"/>
    <mergeCell ref="B30:E30"/>
    <mergeCell ref="B23:E23"/>
    <mergeCell ref="B29:E29"/>
    <mergeCell ref="B31:E31"/>
    <mergeCell ref="B28:E28"/>
    <mergeCell ref="B33:E33"/>
    <mergeCell ref="V59:AC60"/>
    <mergeCell ref="V35:AC36"/>
    <mergeCell ref="V41:AC42"/>
    <mergeCell ref="V39:AC39"/>
    <mergeCell ref="W45:X45"/>
    <mergeCell ref="V46:X46"/>
    <mergeCell ref="W51:X51"/>
    <mergeCell ref="W56:X56"/>
    <mergeCell ref="V57:X57"/>
    <mergeCell ref="Y28:Z28"/>
    <mergeCell ref="W27:X27"/>
    <mergeCell ref="W28:X28"/>
    <mergeCell ref="B39:E39"/>
    <mergeCell ref="G43:I48"/>
    <mergeCell ref="W30:Z30"/>
    <mergeCell ref="W32:Z32"/>
    <mergeCell ref="H33:I34"/>
    <mergeCell ref="H35:I38"/>
    <mergeCell ref="B35:G35"/>
    <mergeCell ref="W26:X26"/>
    <mergeCell ref="AA25:AB25"/>
    <mergeCell ref="AA26:AB26"/>
    <mergeCell ref="Y26:Z26"/>
    <mergeCell ref="A57:I57"/>
    <mergeCell ref="H29:I32"/>
    <mergeCell ref="H39:I41"/>
    <mergeCell ref="AA27:AB27"/>
    <mergeCell ref="AA28:AB28"/>
    <mergeCell ref="Y27:Z27"/>
    <mergeCell ref="W24:AB24"/>
    <mergeCell ref="B37:E37"/>
    <mergeCell ref="A64:B64"/>
    <mergeCell ref="A45:C45"/>
    <mergeCell ref="A49:E49"/>
    <mergeCell ref="A47:C47"/>
    <mergeCell ref="D45:E45"/>
    <mergeCell ref="D47:E47"/>
    <mergeCell ref="B25:E25"/>
    <mergeCell ref="B38:E38"/>
    <mergeCell ref="I1:I2"/>
    <mergeCell ref="H1:H2"/>
    <mergeCell ref="A5:I5"/>
    <mergeCell ref="B27:E27"/>
    <mergeCell ref="B20:G20"/>
    <mergeCell ref="B18:G18"/>
    <mergeCell ref="B26:E26"/>
    <mergeCell ref="H15:I17"/>
    <mergeCell ref="B24:E24"/>
    <mergeCell ref="H10:I12"/>
    <mergeCell ref="B21:G21"/>
    <mergeCell ref="B1:G2"/>
    <mergeCell ref="B3:G3"/>
    <mergeCell ref="B4:G4"/>
    <mergeCell ref="B7:G7"/>
    <mergeCell ref="D15:E15"/>
    <mergeCell ref="D16:E16"/>
    <mergeCell ref="D17:E17"/>
  </mergeCells>
  <printOptions/>
  <pageMargins left="0.25" right="0.25" top="0.25" bottom="0.5" header="0.25" footer="0.25"/>
  <pageSetup fitToHeight="1" fitToWidth="1" horizontalDpi="600" verticalDpi="600" orientation="portrait" scale="90" r:id="rId3"/>
  <headerFooter alignWithMargins="0">
    <oddFooter>&amp;L&amp;8LID-EZ Wilmington Area Model
Version 2.0&amp;R&amp;8&amp;D  &amp;T
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O66"/>
  <sheetViews>
    <sheetView showGridLines="0" showRowColHeaders="0" zoomScalePageLayoutView="0" workbookViewId="0" topLeftCell="A1">
      <selection activeCell="R1" sqref="R1"/>
    </sheetView>
  </sheetViews>
  <sheetFormatPr defaultColWidth="10.7109375" defaultRowHeight="12.75"/>
  <cols>
    <col min="1" max="1" width="18.57421875" style="81" customWidth="1"/>
    <col min="2" max="7" width="9.7109375" style="81" customWidth="1"/>
    <col min="8" max="8" width="10.00390625" style="81" customWidth="1"/>
    <col min="9" max="9" width="10.421875" style="81" customWidth="1"/>
    <col min="10" max="10" width="10.421875" style="81" hidden="1" customWidth="1"/>
    <col min="11" max="11" width="18.421875" style="81" hidden="1" customWidth="1"/>
    <col min="12" max="12" width="4.421875" style="81" customWidth="1"/>
    <col min="13" max="13" width="23.140625" style="81" customWidth="1"/>
    <col min="14" max="14" width="24.7109375" style="81" customWidth="1"/>
    <col min="15" max="16384" width="10.7109375" style="81" customWidth="1"/>
  </cols>
  <sheetData>
    <row r="1" spans="1:11" ht="13.5" customHeight="1">
      <c r="A1" s="388"/>
      <c r="B1" s="739" t="s">
        <v>2</v>
      </c>
      <c r="C1" s="740"/>
      <c r="D1" s="740"/>
      <c r="E1" s="740"/>
      <c r="F1" s="740"/>
      <c r="G1" s="741"/>
      <c r="H1" s="738" t="s">
        <v>165</v>
      </c>
      <c r="I1" s="733">
        <f>N19</f>
        <v>0</v>
      </c>
      <c r="J1" s="137"/>
      <c r="K1" s="137"/>
    </row>
    <row r="2" spans="1:11" ht="13.5" customHeight="1">
      <c r="A2" s="377"/>
      <c r="B2" s="742"/>
      <c r="C2" s="743"/>
      <c r="D2" s="743"/>
      <c r="E2" s="743"/>
      <c r="F2" s="743"/>
      <c r="G2" s="744"/>
      <c r="H2" s="702"/>
      <c r="I2" s="734"/>
      <c r="J2" s="137"/>
      <c r="K2" s="137"/>
    </row>
    <row r="3" spans="1:11" ht="25.5" customHeight="1">
      <c r="A3" s="82"/>
      <c r="B3" s="745">
        <f>N18</f>
        <v>0</v>
      </c>
      <c r="C3" s="743"/>
      <c r="D3" s="743"/>
      <c r="E3" s="743"/>
      <c r="F3" s="743"/>
      <c r="G3" s="744"/>
      <c r="H3" s="147" t="s">
        <v>0</v>
      </c>
      <c r="I3" s="307">
        <f>N20</f>
        <v>0</v>
      </c>
      <c r="J3" s="367"/>
      <c r="K3" s="367"/>
    </row>
    <row r="4" spans="1:11" ht="24.75" customHeight="1" thickBot="1">
      <c r="A4" s="159"/>
      <c r="B4" s="746">
        <f>N17</f>
        <v>0</v>
      </c>
      <c r="C4" s="747"/>
      <c r="D4" s="747"/>
      <c r="E4" s="747"/>
      <c r="F4" s="747"/>
      <c r="G4" s="748"/>
      <c r="H4" s="387" t="s">
        <v>1</v>
      </c>
      <c r="I4" s="472">
        <f>N21</f>
        <v>0</v>
      </c>
      <c r="J4" s="139"/>
      <c r="K4" s="139"/>
    </row>
    <row r="5" spans="1:11" ht="25.5" customHeight="1" thickBot="1" thickTop="1">
      <c r="A5" s="735" t="s">
        <v>4</v>
      </c>
      <c r="B5" s="736"/>
      <c r="C5" s="736"/>
      <c r="D5" s="736"/>
      <c r="E5" s="736"/>
      <c r="F5" s="736"/>
      <c r="G5" s="736"/>
      <c r="H5" s="736"/>
      <c r="I5" s="737"/>
      <c r="J5" s="534"/>
      <c r="K5" s="534"/>
    </row>
    <row r="6" spans="1:11" ht="13.5" thickTop="1">
      <c r="A6" s="89"/>
      <c r="B6" s="90"/>
      <c r="C6" s="90"/>
      <c r="D6" s="90"/>
      <c r="E6" s="90"/>
      <c r="F6" s="90"/>
      <c r="G6" s="90"/>
      <c r="H6" s="90"/>
      <c r="I6" s="91"/>
      <c r="J6" s="90"/>
      <c r="K6" s="90"/>
    </row>
    <row r="7" spans="1:11" ht="12.75">
      <c r="A7" s="89"/>
      <c r="B7" s="90"/>
      <c r="C7" s="90"/>
      <c r="D7" s="90"/>
      <c r="E7" s="90"/>
      <c r="F7" s="90"/>
      <c r="G7" s="90"/>
      <c r="H7" s="90"/>
      <c r="I7" s="91"/>
      <c r="J7" s="90"/>
      <c r="K7" s="90" t="s">
        <v>269</v>
      </c>
    </row>
    <row r="8" spans="1:11" ht="16.5" thickBot="1">
      <c r="A8" s="89"/>
      <c r="B8" s="712" t="s">
        <v>108</v>
      </c>
      <c r="C8" s="725"/>
      <c r="D8" s="725"/>
      <c r="E8" s="725"/>
      <c r="F8" s="725"/>
      <c r="G8" s="726"/>
      <c r="H8" s="90"/>
      <c r="I8" s="91"/>
      <c r="J8" s="90"/>
      <c r="K8" s="90" t="s">
        <v>270</v>
      </c>
    </row>
    <row r="9" spans="1:11" ht="15" thickTop="1">
      <c r="A9" s="89"/>
      <c r="B9" s="149"/>
      <c r="C9" s="150"/>
      <c r="D9" s="151" t="s">
        <v>106</v>
      </c>
      <c r="E9" s="150">
        <f>'Pre-Development'!F30</f>
        <v>0</v>
      </c>
      <c r="F9" s="150" t="s">
        <v>12</v>
      </c>
      <c r="G9" s="152"/>
      <c r="H9" s="90"/>
      <c r="I9" s="91"/>
      <c r="J9" s="90"/>
      <c r="K9" s="90"/>
    </row>
    <row r="10" spans="1:11" ht="14.25">
      <c r="A10" s="89"/>
      <c r="B10" s="149"/>
      <c r="C10" s="150"/>
      <c r="D10" s="151" t="s">
        <v>283</v>
      </c>
      <c r="E10" s="724" t="s">
        <v>460</v>
      </c>
      <c r="F10" s="724"/>
      <c r="G10" s="152"/>
      <c r="H10" s="90"/>
      <c r="I10" s="91"/>
      <c r="J10" s="90"/>
      <c r="K10" s="124" t="s">
        <v>458</v>
      </c>
    </row>
    <row r="11" spans="1:11" ht="14.25">
      <c r="A11" s="89"/>
      <c r="B11" s="149"/>
      <c r="C11" s="150"/>
      <c r="D11" s="151" t="s">
        <v>268</v>
      </c>
      <c r="E11" s="378"/>
      <c r="F11" s="150"/>
      <c r="G11" s="152"/>
      <c r="H11" s="90"/>
      <c r="I11" s="91"/>
      <c r="J11" s="90"/>
      <c r="K11" s="124" t="s">
        <v>459</v>
      </c>
    </row>
    <row r="12" spans="1:11" ht="14.25">
      <c r="A12" s="89"/>
      <c r="B12" s="149"/>
      <c r="C12" s="150"/>
      <c r="D12" s="369" t="s">
        <v>271</v>
      </c>
      <c r="E12" s="389">
        <f>'Post-Development'!R46</f>
        <v>0</v>
      </c>
      <c r="F12" s="150" t="s">
        <v>12</v>
      </c>
      <c r="G12" s="152"/>
      <c r="H12" s="90"/>
      <c r="I12" s="91"/>
      <c r="J12" s="90"/>
      <c r="K12" s="124" t="s">
        <v>460</v>
      </c>
    </row>
    <row r="13" spans="1:11" ht="14.25">
      <c r="A13" s="89"/>
      <c r="B13" s="149"/>
      <c r="C13" s="150"/>
      <c r="D13" s="154" t="s">
        <v>107</v>
      </c>
      <c r="E13" s="579" t="str">
        <f>IF(E9&gt;0,(E12/E9),"N/A")</f>
        <v>N/A</v>
      </c>
      <c r="F13" s="150"/>
      <c r="G13" s="152"/>
      <c r="H13" s="90"/>
      <c r="I13" s="91"/>
      <c r="J13" s="90"/>
      <c r="K13" s="90"/>
    </row>
    <row r="14" spans="1:11" ht="15" customHeight="1">
      <c r="A14" s="89"/>
      <c r="B14" s="149"/>
      <c r="C14" s="150"/>
      <c r="D14" s="154" t="s">
        <v>436</v>
      </c>
      <c r="E14" s="579" t="str">
        <f>IF(E13="N/A","N/A",E12/(E9-'Pre-Development'!F29))</f>
        <v>N/A</v>
      </c>
      <c r="F14" s="150"/>
      <c r="G14" s="152"/>
      <c r="H14" s="90"/>
      <c r="I14" s="91"/>
      <c r="J14" s="90"/>
      <c r="K14" s="90"/>
    </row>
    <row r="15" spans="1:14" ht="15" customHeight="1">
      <c r="A15" s="89"/>
      <c r="B15" s="722">
        <f>IF('Pre-Development'!F30='Post-Development'!F41,"","Error: Pre and post development site areas do not match.")</f>
      </c>
      <c r="C15" s="723"/>
      <c r="D15" s="723"/>
      <c r="E15" s="723"/>
      <c r="F15" s="723"/>
      <c r="G15" s="723"/>
      <c r="H15" s="90"/>
      <c r="I15" s="91"/>
      <c r="J15" s="90"/>
      <c r="K15" s="90"/>
      <c r="M15" s="755" t="s">
        <v>182</v>
      </c>
      <c r="N15" s="755"/>
    </row>
    <row r="16" spans="1:14" ht="7.5" customHeight="1" thickBot="1">
      <c r="A16" s="89"/>
      <c r="B16" s="512"/>
      <c r="C16" s="503"/>
      <c r="D16" s="503"/>
      <c r="E16" s="503"/>
      <c r="F16" s="503"/>
      <c r="G16" s="503"/>
      <c r="H16" s="90"/>
      <c r="I16" s="91"/>
      <c r="J16" s="90"/>
      <c r="K16" s="90"/>
      <c r="M16" s="756"/>
      <c r="N16" s="756"/>
    </row>
    <row r="17" spans="1:14" ht="15" customHeight="1" thickBot="1" thickTop="1">
      <c r="A17" s="89"/>
      <c r="B17" s="712" t="s">
        <v>420</v>
      </c>
      <c r="C17" s="725"/>
      <c r="D17" s="725"/>
      <c r="E17" s="725"/>
      <c r="F17" s="725"/>
      <c r="G17" s="726"/>
      <c r="H17" s="90"/>
      <c r="I17" s="91"/>
      <c r="J17" s="90"/>
      <c r="K17" s="90"/>
      <c r="M17" s="82" t="s">
        <v>169</v>
      </c>
      <c r="N17" s="303"/>
    </row>
    <row r="18" spans="1:14" ht="15" customHeight="1" thickTop="1">
      <c r="A18" s="89"/>
      <c r="B18" s="149"/>
      <c r="C18" s="150"/>
      <c r="D18" s="151" t="s">
        <v>421</v>
      </c>
      <c r="E18" s="718" t="str">
        <f>IF(OR(E19="No",E19=""),IF(E11="SA","Delta 1-Yr Storm","First Flush"),E19)</f>
        <v>First Flush</v>
      </c>
      <c r="F18" s="718"/>
      <c r="G18" s="152"/>
      <c r="H18" s="90"/>
      <c r="I18" s="91"/>
      <c r="J18" s="90" t="s">
        <v>433</v>
      </c>
      <c r="K18" s="90" t="s">
        <v>423</v>
      </c>
      <c r="M18" s="82" t="s">
        <v>167</v>
      </c>
      <c r="N18" s="304"/>
    </row>
    <row r="19" spans="1:14" ht="15" customHeight="1">
      <c r="A19" s="89"/>
      <c r="B19" s="149"/>
      <c r="C19" s="150"/>
      <c r="D19" s="151" t="s">
        <v>422</v>
      </c>
      <c r="E19" s="724" t="s">
        <v>423</v>
      </c>
      <c r="F19" s="724"/>
      <c r="G19" s="152"/>
      <c r="H19" s="90"/>
      <c r="I19" s="91"/>
      <c r="J19" s="90" t="s">
        <v>423</v>
      </c>
      <c r="K19" s="90" t="s">
        <v>424</v>
      </c>
      <c r="M19" s="82" t="s">
        <v>168</v>
      </c>
      <c r="N19" s="304"/>
    </row>
    <row r="20" spans="1:14" ht="15" customHeight="1">
      <c r="A20" s="89"/>
      <c r="B20" s="149"/>
      <c r="C20" s="150"/>
      <c r="D20" s="151" t="s">
        <v>434</v>
      </c>
      <c r="E20" s="732" t="s">
        <v>423</v>
      </c>
      <c r="F20" s="732"/>
      <c r="G20" s="152"/>
      <c r="H20" s="90"/>
      <c r="I20" s="91"/>
      <c r="J20" s="90"/>
      <c r="K20" s="90" t="s">
        <v>191</v>
      </c>
      <c r="M20" s="82" t="s">
        <v>0</v>
      </c>
      <c r="N20" s="306"/>
    </row>
    <row r="21" spans="1:14" ht="15" customHeight="1" thickBot="1">
      <c r="A21" s="89"/>
      <c r="B21" s="760">
        <f>IF(OR(AND(E14&gt;0.12,E18=K21,E11="SA"),AND(E14&gt;0.24,E18=K21,E11="Non-SA")),"Warning: Density may exceed state limits",IF(AND(E14&gt;0.25,E20="Yes"),"Warning: Project may exceed density limits if within 575' of ORW",""))</f>
      </c>
      <c r="C21" s="761"/>
      <c r="D21" s="761"/>
      <c r="E21" s="761"/>
      <c r="F21" s="761"/>
      <c r="G21" s="762"/>
      <c r="H21" s="90"/>
      <c r="I21" s="91"/>
      <c r="J21" s="90"/>
      <c r="K21" s="124" t="s">
        <v>425</v>
      </c>
      <c r="M21" s="86" t="s">
        <v>1</v>
      </c>
      <c r="N21" s="305"/>
    </row>
    <row r="22" spans="1:11" ht="7.5" customHeight="1">
      <c r="A22" s="89"/>
      <c r="B22" s="150"/>
      <c r="C22" s="150"/>
      <c r="D22" s="151"/>
      <c r="E22" s="366"/>
      <c r="F22" s="150"/>
      <c r="G22" s="90"/>
      <c r="H22" s="90"/>
      <c r="I22" s="91"/>
      <c r="J22" s="90"/>
      <c r="K22" s="90"/>
    </row>
    <row r="23" spans="1:11" ht="18.75" customHeight="1" thickBot="1">
      <c r="A23" s="89"/>
      <c r="B23" s="712" t="s">
        <v>272</v>
      </c>
      <c r="C23" s="713"/>
      <c r="D23" s="713"/>
      <c r="E23" s="713" t="s">
        <v>194</v>
      </c>
      <c r="F23" s="720"/>
      <c r="G23" s="721"/>
      <c r="H23" s="90"/>
      <c r="I23" s="91"/>
      <c r="J23" s="90"/>
      <c r="K23" s="90"/>
    </row>
    <row r="24" spans="1:11" ht="13.5" thickTop="1">
      <c r="A24" s="89"/>
      <c r="B24" s="719" t="s">
        <v>191</v>
      </c>
      <c r="C24" s="652"/>
      <c r="D24" s="652"/>
      <c r="E24" s="729">
        <v>1.5</v>
      </c>
      <c r="F24" s="730"/>
      <c r="G24" s="731"/>
      <c r="H24" s="90"/>
      <c r="I24" s="91"/>
      <c r="J24" s="90"/>
      <c r="K24" s="90"/>
    </row>
    <row r="25" spans="1:11" ht="12.75">
      <c r="A25" s="89"/>
      <c r="B25" s="719" t="s">
        <v>183</v>
      </c>
      <c r="C25" s="652"/>
      <c r="D25" s="652"/>
      <c r="E25" s="701">
        <v>3.7</v>
      </c>
      <c r="F25" s="702"/>
      <c r="G25" s="703"/>
      <c r="H25" s="90"/>
      <c r="I25" s="91"/>
      <c r="J25" s="90"/>
      <c r="K25" s="90"/>
    </row>
    <row r="26" spans="1:11" ht="12.75">
      <c r="A26" s="89"/>
      <c r="B26" s="719" t="s">
        <v>184</v>
      </c>
      <c r="C26" s="652"/>
      <c r="D26" s="652"/>
      <c r="E26" s="701">
        <v>4.5</v>
      </c>
      <c r="F26" s="702"/>
      <c r="G26" s="703"/>
      <c r="H26" s="90"/>
      <c r="I26" s="91"/>
      <c r="J26" s="90"/>
      <c r="K26" s="90"/>
    </row>
    <row r="27" spans="1:11" ht="12.75">
      <c r="A27" s="89"/>
      <c r="B27" s="719" t="s">
        <v>185</v>
      </c>
      <c r="C27" s="652"/>
      <c r="D27" s="652"/>
      <c r="E27" s="701">
        <v>7</v>
      </c>
      <c r="F27" s="702"/>
      <c r="G27" s="703"/>
      <c r="H27" s="90"/>
      <c r="I27" s="91"/>
      <c r="J27" s="90"/>
      <c r="K27" s="90"/>
    </row>
    <row r="28" spans="1:11" ht="12.75">
      <c r="A28" s="89"/>
      <c r="B28" s="719" t="s">
        <v>186</v>
      </c>
      <c r="C28" s="652"/>
      <c r="D28" s="652"/>
      <c r="E28" s="701">
        <v>8</v>
      </c>
      <c r="F28" s="702"/>
      <c r="G28" s="703"/>
      <c r="H28" s="90"/>
      <c r="I28" s="91"/>
      <c r="J28" s="90"/>
      <c r="K28" s="90"/>
    </row>
    <row r="29" spans="1:11" ht="12.75">
      <c r="A29" s="89"/>
      <c r="B29" s="382"/>
      <c r="C29" s="92" t="s">
        <v>312</v>
      </c>
      <c r="D29" s="92"/>
      <c r="E29" s="701">
        <v>9</v>
      </c>
      <c r="F29" s="710"/>
      <c r="G29" s="711"/>
      <c r="H29" s="90"/>
      <c r="I29" s="91"/>
      <c r="J29" s="90"/>
      <c r="K29" s="90"/>
    </row>
    <row r="30" spans="1:11" ht="12.75">
      <c r="A30" s="89"/>
      <c r="B30" s="727" t="s">
        <v>187</v>
      </c>
      <c r="C30" s="728"/>
      <c r="D30" s="728"/>
      <c r="E30" s="704">
        <v>10</v>
      </c>
      <c r="F30" s="705"/>
      <c r="G30" s="706"/>
      <c r="H30" s="90"/>
      <c r="I30" s="91"/>
      <c r="J30" s="90"/>
      <c r="K30" s="90"/>
    </row>
    <row r="31" spans="1:11" ht="7.5" customHeight="1">
      <c r="A31" s="89"/>
      <c r="B31" s="90"/>
      <c r="C31" s="90"/>
      <c r="D31" s="90"/>
      <c r="E31" s="90"/>
      <c r="F31" s="90"/>
      <c r="G31" s="90"/>
      <c r="H31" s="90"/>
      <c r="I31" s="91"/>
      <c r="J31" s="90"/>
      <c r="K31" s="90"/>
    </row>
    <row r="32" spans="1:11" ht="16.5" thickBot="1">
      <c r="A32" s="89"/>
      <c r="B32" s="712" t="s">
        <v>276</v>
      </c>
      <c r="C32" s="713"/>
      <c r="D32" s="713"/>
      <c r="E32" s="713"/>
      <c r="F32" s="713"/>
      <c r="G32" s="714"/>
      <c r="H32" s="90"/>
      <c r="I32" s="91"/>
      <c r="J32" s="90"/>
      <c r="K32" s="90"/>
    </row>
    <row r="33" spans="1:11" ht="15" thickTop="1">
      <c r="A33" s="89"/>
      <c r="B33" s="149"/>
      <c r="C33" s="90"/>
      <c r="D33" s="154" t="s">
        <v>273</v>
      </c>
      <c r="E33" s="339">
        <f>'Pre-Development'!D32</f>
        <v>0</v>
      </c>
      <c r="F33" s="155"/>
      <c r="G33" s="152"/>
      <c r="H33" s="90"/>
      <c r="I33" s="91"/>
      <c r="J33" s="90"/>
      <c r="K33" s="90"/>
    </row>
    <row r="34" spans="1:15" ht="14.25">
      <c r="A34" s="89"/>
      <c r="B34" s="149"/>
      <c r="C34" s="150"/>
      <c r="D34" s="151" t="s">
        <v>274</v>
      </c>
      <c r="E34" s="368">
        <f>'Post-Development'!D43</f>
        <v>0</v>
      </c>
      <c r="F34" s="155"/>
      <c r="G34" s="152"/>
      <c r="H34" s="90"/>
      <c r="I34" s="91"/>
      <c r="J34" s="90"/>
      <c r="K34" s="90"/>
      <c r="M34" s="665" t="s">
        <v>293</v>
      </c>
      <c r="N34" s="697"/>
      <c r="O34" s="697"/>
    </row>
    <row r="35" spans="1:15" ht="16.5">
      <c r="A35" s="89"/>
      <c r="B35" s="709" t="s">
        <v>275</v>
      </c>
      <c r="C35" s="653"/>
      <c r="D35" s="653"/>
      <c r="E35" s="653"/>
      <c r="F35" s="379">
        <f>'Storage Devices'!E34</f>
        <v>0</v>
      </c>
      <c r="G35" s="390" t="s">
        <v>109</v>
      </c>
      <c r="H35" s="90"/>
      <c r="I35" s="91"/>
      <c r="J35" s="90"/>
      <c r="K35" s="90"/>
      <c r="M35" s="697"/>
      <c r="N35" s="697"/>
      <c r="O35" s="697"/>
    </row>
    <row r="36" spans="1:15" ht="17.25">
      <c r="A36" s="89"/>
      <c r="B36" s="715" t="s">
        <v>389</v>
      </c>
      <c r="C36" s="653"/>
      <c r="D36" s="653"/>
      <c r="E36" s="653"/>
      <c r="F36" s="380">
        <f>'Storage Devices'!E37</f>
        <v>0</v>
      </c>
      <c r="G36" s="390" t="s">
        <v>109</v>
      </c>
      <c r="H36" s="90"/>
      <c r="I36" s="91"/>
      <c r="M36" s="697"/>
      <c r="N36" s="697"/>
      <c r="O36" s="697"/>
    </row>
    <row r="37" spans="1:15" ht="14.25" customHeight="1">
      <c r="A37" s="89"/>
      <c r="B37" s="716" t="s">
        <v>84</v>
      </c>
      <c r="C37" s="717"/>
      <c r="D37" s="717"/>
      <c r="E37" s="717"/>
      <c r="F37" s="381">
        <f>'Storage Devices'!E31</f>
        <v>0</v>
      </c>
      <c r="G37" s="391" t="s">
        <v>109</v>
      </c>
      <c r="H37" s="90"/>
      <c r="I37" s="91"/>
      <c r="M37" s="757" t="s">
        <v>294</v>
      </c>
      <c r="N37" s="757"/>
      <c r="O37" s="385"/>
    </row>
    <row r="38" spans="1:15" ht="7.5" customHeight="1">
      <c r="A38" s="89"/>
      <c r="B38" s="90"/>
      <c r="C38" s="90"/>
      <c r="D38" s="90"/>
      <c r="E38" s="90"/>
      <c r="F38" s="90"/>
      <c r="G38" s="90"/>
      <c r="H38" s="90"/>
      <c r="I38" s="91"/>
      <c r="M38" s="757"/>
      <c r="N38" s="757"/>
      <c r="O38" s="385"/>
    </row>
    <row r="39" spans="1:15" ht="16.5" thickBot="1">
      <c r="A39" s="82"/>
      <c r="B39" s="712" t="s">
        <v>419</v>
      </c>
      <c r="C39" s="713"/>
      <c r="D39" s="713"/>
      <c r="E39" s="713"/>
      <c r="F39" s="713"/>
      <c r="G39" s="714"/>
      <c r="H39" s="83"/>
      <c r="I39" s="84"/>
      <c r="M39" s="757"/>
      <c r="N39" s="757"/>
      <c r="O39" s="385"/>
    </row>
    <row r="40" spans="1:15" ht="15" thickTop="1">
      <c r="A40" s="82"/>
      <c r="B40" s="698" t="s">
        <v>284</v>
      </c>
      <c r="C40" s="699"/>
      <c r="D40" s="700" t="s">
        <v>291</v>
      </c>
      <c r="E40" s="699"/>
      <c r="F40" s="707" t="s">
        <v>292</v>
      </c>
      <c r="G40" s="708"/>
      <c r="H40" s="83"/>
      <c r="I40" s="84"/>
      <c r="M40" s="757"/>
      <c r="N40" s="757"/>
      <c r="O40" s="385"/>
    </row>
    <row r="41" spans="1:9" ht="14.25">
      <c r="A41" s="82"/>
      <c r="B41" s="749" t="s">
        <v>285</v>
      </c>
      <c r="C41" s="750"/>
      <c r="D41" s="751">
        <f>'Peak Flow Calcs'!C77</f>
        <v>0</v>
      </c>
      <c r="E41" s="750"/>
      <c r="F41" s="751">
        <f>'Peak Flow Calcs'!E77</f>
        <v>0</v>
      </c>
      <c r="G41" s="752"/>
      <c r="H41" s="83"/>
      <c r="I41" s="84"/>
    </row>
    <row r="42" spans="1:9" ht="14.25">
      <c r="A42" s="82"/>
      <c r="B42" s="749" t="s">
        <v>286</v>
      </c>
      <c r="C42" s="750"/>
      <c r="D42" s="751">
        <f>'Peak Flow Calcs'!C78</f>
        <v>0</v>
      </c>
      <c r="E42" s="750"/>
      <c r="F42" s="751">
        <f>'Peak Flow Calcs'!E78</f>
        <v>0</v>
      </c>
      <c r="G42" s="752"/>
      <c r="H42" s="83"/>
      <c r="I42" s="84"/>
    </row>
    <row r="43" spans="1:11" ht="14.25">
      <c r="A43" s="82"/>
      <c r="B43" s="749" t="s">
        <v>287</v>
      </c>
      <c r="C43" s="750"/>
      <c r="D43" s="751">
        <f>'Peak Flow Calcs'!C79</f>
        <v>0</v>
      </c>
      <c r="E43" s="750"/>
      <c r="F43" s="751">
        <f>'Peak Flow Calcs'!E79</f>
        <v>0</v>
      </c>
      <c r="G43" s="752"/>
      <c r="H43" s="83"/>
      <c r="I43" s="84"/>
      <c r="J43" s="83"/>
      <c r="K43" s="83"/>
    </row>
    <row r="44" spans="1:11" ht="14.25">
      <c r="A44" s="82"/>
      <c r="B44" s="749" t="s">
        <v>288</v>
      </c>
      <c r="C44" s="750"/>
      <c r="D44" s="751">
        <f>'Peak Flow Calcs'!C80</f>
        <v>0</v>
      </c>
      <c r="E44" s="750"/>
      <c r="F44" s="751">
        <f>'Peak Flow Calcs'!E80</f>
        <v>0</v>
      </c>
      <c r="G44" s="752"/>
      <c r="H44" s="83"/>
      <c r="I44" s="84"/>
      <c r="J44" s="83"/>
      <c r="K44" s="83"/>
    </row>
    <row r="45" spans="1:11" ht="14.25">
      <c r="A45" s="82"/>
      <c r="B45" s="749" t="s">
        <v>289</v>
      </c>
      <c r="C45" s="750"/>
      <c r="D45" s="751">
        <f>'Peak Flow Calcs'!C81</f>
        <v>0</v>
      </c>
      <c r="E45" s="750"/>
      <c r="F45" s="751">
        <f>'Peak Flow Calcs'!E81</f>
        <v>0</v>
      </c>
      <c r="G45" s="752"/>
      <c r="H45" s="83"/>
      <c r="I45" s="84"/>
      <c r="J45" s="83"/>
      <c r="K45" s="83"/>
    </row>
    <row r="46" spans="1:11" ht="14.25">
      <c r="A46" s="82"/>
      <c r="B46" s="753" t="s">
        <v>290</v>
      </c>
      <c r="C46" s="754"/>
      <c r="D46" s="758">
        <f>'Peak Flow Calcs'!C82</f>
        <v>0</v>
      </c>
      <c r="E46" s="754"/>
      <c r="F46" s="758">
        <f>'Peak Flow Calcs'!E82</f>
        <v>0</v>
      </c>
      <c r="G46" s="759"/>
      <c r="H46" s="83"/>
      <c r="I46" s="84"/>
      <c r="J46" s="83"/>
      <c r="K46" s="83"/>
    </row>
    <row r="47" spans="1:11" ht="12.75">
      <c r="A47" s="82"/>
      <c r="B47" s="83"/>
      <c r="C47" s="83"/>
      <c r="D47" s="83"/>
      <c r="E47" s="83"/>
      <c r="F47" s="83"/>
      <c r="G47" s="83"/>
      <c r="H47" s="83"/>
      <c r="I47" s="84"/>
      <c r="J47" s="83"/>
      <c r="K47" s="83"/>
    </row>
    <row r="48" spans="1:11" ht="13.5" thickBot="1">
      <c r="A48" s="86"/>
      <c r="B48" s="87"/>
      <c r="C48" s="87"/>
      <c r="D48" s="87"/>
      <c r="E48" s="87"/>
      <c r="F48" s="87"/>
      <c r="G48" s="87"/>
      <c r="H48" s="87"/>
      <c r="I48" s="88"/>
      <c r="J48" s="83"/>
      <c r="K48" s="83"/>
    </row>
    <row r="49" spans="1:11" ht="12.75">
      <c r="A49" s="82"/>
      <c r="B49" s="83"/>
      <c r="C49" s="83"/>
      <c r="D49" s="83"/>
      <c r="E49" s="83"/>
      <c r="F49" s="83"/>
      <c r="G49" s="83"/>
      <c r="J49" s="83"/>
      <c r="K49" s="83"/>
    </row>
    <row r="50" spans="1:7" ht="12.75">
      <c r="A50" s="82"/>
      <c r="B50" s="83"/>
      <c r="C50" s="83"/>
      <c r="D50" s="83"/>
      <c r="E50" s="83"/>
      <c r="F50" s="83"/>
      <c r="G50" s="83"/>
    </row>
    <row r="51" spans="1:7" ht="12.75">
      <c r="A51" s="82"/>
      <c r="B51" s="83"/>
      <c r="C51" s="83"/>
      <c r="D51" s="83"/>
      <c r="E51" s="83"/>
      <c r="F51" s="83"/>
      <c r="G51" s="83"/>
    </row>
    <row r="52" spans="1:7" ht="12.75">
      <c r="A52" s="82"/>
      <c r="B52" s="83"/>
      <c r="C52" s="83"/>
      <c r="D52" s="83"/>
      <c r="E52" s="83"/>
      <c r="F52" s="83"/>
      <c r="G52" s="83"/>
    </row>
    <row r="53" spans="1:7" ht="12.75">
      <c r="A53" s="82"/>
      <c r="B53" s="83"/>
      <c r="C53" s="83"/>
      <c r="D53" s="83"/>
      <c r="E53" s="83"/>
      <c r="F53" s="83"/>
      <c r="G53" s="83"/>
    </row>
    <row r="54" spans="1:7" ht="12.75">
      <c r="A54" s="82"/>
      <c r="B54" s="83"/>
      <c r="C54" s="83"/>
      <c r="D54" s="83"/>
      <c r="E54" s="83"/>
      <c r="F54" s="83"/>
      <c r="G54" s="83"/>
    </row>
    <row r="55" spans="1:7" ht="12.75">
      <c r="A55" s="82"/>
      <c r="B55" s="83"/>
      <c r="C55" s="83"/>
      <c r="D55" s="83"/>
      <c r="E55" s="83"/>
      <c r="F55" s="83"/>
      <c r="G55" s="83"/>
    </row>
    <row r="56" spans="1:7" ht="12.75">
      <c r="A56" s="82"/>
      <c r="B56" s="83"/>
      <c r="C56" s="83"/>
      <c r="D56" s="83"/>
      <c r="E56" s="83"/>
      <c r="F56" s="83"/>
      <c r="G56" s="83"/>
    </row>
    <row r="57" spans="1:7" ht="12.75">
      <c r="A57" s="82"/>
      <c r="B57" s="83"/>
      <c r="C57" s="83"/>
      <c r="D57" s="83"/>
      <c r="E57" s="83"/>
      <c r="F57" s="83"/>
      <c r="G57" s="83"/>
    </row>
    <row r="58" spans="1:7" ht="12.75">
      <c r="A58" s="82"/>
      <c r="B58" s="83"/>
      <c r="C58" s="83"/>
      <c r="D58" s="83"/>
      <c r="E58" s="83"/>
      <c r="F58" s="83"/>
      <c r="G58" s="83"/>
    </row>
    <row r="59" spans="1:7" ht="12.75">
      <c r="A59" s="82"/>
      <c r="B59" s="83"/>
      <c r="C59" s="83"/>
      <c r="D59" s="83"/>
      <c r="E59" s="83"/>
      <c r="F59" s="83"/>
      <c r="G59" s="83"/>
    </row>
    <row r="60" spans="1:7" ht="12.75">
      <c r="A60" s="82"/>
      <c r="B60" s="83"/>
      <c r="C60" s="83"/>
      <c r="D60" s="83"/>
      <c r="E60" s="83"/>
      <c r="F60" s="83"/>
      <c r="G60" s="83"/>
    </row>
    <row r="61" spans="1:7" ht="12.75">
      <c r="A61" s="82"/>
      <c r="B61" s="83"/>
      <c r="C61" s="83"/>
      <c r="D61" s="83"/>
      <c r="E61" s="83"/>
      <c r="F61" s="83"/>
      <c r="G61" s="83"/>
    </row>
    <row r="62" spans="1:7" ht="12.75">
      <c r="A62" s="82"/>
      <c r="B62" s="83"/>
      <c r="C62" s="83"/>
      <c r="D62" s="83"/>
      <c r="E62" s="83"/>
      <c r="F62" s="83"/>
      <c r="G62" s="83"/>
    </row>
    <row r="63" spans="1:7" ht="12.75">
      <c r="A63" s="82"/>
      <c r="B63" s="83"/>
      <c r="C63" s="83"/>
      <c r="D63" s="83"/>
      <c r="E63" s="83"/>
      <c r="F63" s="83"/>
      <c r="G63" s="83"/>
    </row>
    <row r="64" spans="1:7" ht="12.75">
      <c r="A64" s="82"/>
      <c r="B64" s="83"/>
      <c r="C64" s="83"/>
      <c r="D64" s="83"/>
      <c r="E64" s="83"/>
      <c r="F64" s="83"/>
      <c r="G64" s="83"/>
    </row>
    <row r="65" spans="1:7" ht="12.75">
      <c r="A65" s="82"/>
      <c r="B65" s="83"/>
      <c r="C65" s="83"/>
      <c r="D65" s="83"/>
      <c r="E65" s="83"/>
      <c r="F65" s="83"/>
      <c r="G65" s="83"/>
    </row>
    <row r="66" spans="1:7" ht="13.5" thickBot="1">
      <c r="A66" s="86"/>
      <c r="B66" s="87"/>
      <c r="C66" s="87"/>
      <c r="D66" s="87"/>
      <c r="E66" s="87"/>
      <c r="F66" s="87"/>
      <c r="G66" s="87"/>
    </row>
  </sheetData>
  <sheetProtection password="CA67" sheet="1" objects="1" scenarios="1" formatCells="0" formatRows="0"/>
  <mergeCells count="58">
    <mergeCell ref="B21:G21"/>
    <mergeCell ref="B44:C44"/>
    <mergeCell ref="B45:C45"/>
    <mergeCell ref="B46:C46"/>
    <mergeCell ref="D44:E44"/>
    <mergeCell ref="D45:E45"/>
    <mergeCell ref="M15:N16"/>
    <mergeCell ref="M37:N40"/>
    <mergeCell ref="D46:E46"/>
    <mergeCell ref="F46:G46"/>
    <mergeCell ref="F44:G44"/>
    <mergeCell ref="E26:G26"/>
    <mergeCell ref="B41:C41"/>
    <mergeCell ref="B42:C42"/>
    <mergeCell ref="F45:G45"/>
    <mergeCell ref="B43:C43"/>
    <mergeCell ref="F41:G41"/>
    <mergeCell ref="F42:G42"/>
    <mergeCell ref="F43:G43"/>
    <mergeCell ref="D41:E41"/>
    <mergeCell ref="D42:E42"/>
    <mergeCell ref="D43:E43"/>
    <mergeCell ref="I1:I2"/>
    <mergeCell ref="A5:I5"/>
    <mergeCell ref="H1:H2"/>
    <mergeCell ref="B1:G2"/>
    <mergeCell ref="B3:G3"/>
    <mergeCell ref="B4:G4"/>
    <mergeCell ref="B15:G15"/>
    <mergeCell ref="E10:F10"/>
    <mergeCell ref="B8:G8"/>
    <mergeCell ref="B30:D30"/>
    <mergeCell ref="B25:D25"/>
    <mergeCell ref="E27:G27"/>
    <mergeCell ref="E24:G24"/>
    <mergeCell ref="E25:G25"/>
    <mergeCell ref="E20:F20"/>
    <mergeCell ref="B17:G17"/>
    <mergeCell ref="B36:E36"/>
    <mergeCell ref="B37:E37"/>
    <mergeCell ref="E18:F18"/>
    <mergeCell ref="B26:D26"/>
    <mergeCell ref="B27:D27"/>
    <mergeCell ref="B28:D28"/>
    <mergeCell ref="E23:G23"/>
    <mergeCell ref="B23:D23"/>
    <mergeCell ref="B24:D24"/>
    <mergeCell ref="E19:F19"/>
    <mergeCell ref="M34:O36"/>
    <mergeCell ref="B40:C40"/>
    <mergeCell ref="D40:E40"/>
    <mergeCell ref="E28:G28"/>
    <mergeCell ref="E30:G30"/>
    <mergeCell ref="F40:G40"/>
    <mergeCell ref="B35:E35"/>
    <mergeCell ref="E29:G29"/>
    <mergeCell ref="B32:G32"/>
    <mergeCell ref="B39:G39"/>
  </mergeCells>
  <dataValidations count="4">
    <dataValidation type="list" allowBlank="1" showInputMessage="1" showErrorMessage="1" sqref="E11">
      <formula1>$K$7:$K$8</formula1>
    </dataValidation>
    <dataValidation type="list" allowBlank="1" showInputMessage="1" showErrorMessage="1" sqref="E19:F19">
      <formula1>$K$18:$K$21</formula1>
    </dataValidation>
    <dataValidation type="list" allowBlank="1" showInputMessage="1" showErrorMessage="1" sqref="E20:F20">
      <formula1>$J$18:$J$19</formula1>
    </dataValidation>
    <dataValidation type="list" allowBlank="1" showInputMessage="1" showErrorMessage="1" sqref="E10:F10">
      <formula1>$K$10:$K$12</formula1>
    </dataValidation>
  </dataValidations>
  <printOptions/>
  <pageMargins left="0.25" right="0.25" top="0.25" bottom="0.5" header="0.25" footer="0.25"/>
  <pageSetup fitToHeight="1" fitToWidth="1" horizontalDpi="600" verticalDpi="600" orientation="portrait" r:id="rId3"/>
  <headerFooter alignWithMargins="0">
    <oddFooter>&amp;L&amp;8LID-EZ Wilmington Area Model
Version 2.0&amp;R&amp;8&amp;D  &amp;T
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H808"/>
  <sheetViews>
    <sheetView showGridLines="0" showRowColHeaders="0" zoomScalePageLayoutView="0" workbookViewId="0" topLeftCell="A8">
      <selection activeCell="A31" sqref="A31"/>
    </sheetView>
  </sheetViews>
  <sheetFormatPr defaultColWidth="9.140625" defaultRowHeight="12.75"/>
  <cols>
    <col min="1" max="1" width="18.57421875" style="0" customWidth="1"/>
    <col min="2" max="2" width="11.421875" style="0" customWidth="1"/>
    <col min="3" max="3" width="14.00390625" style="0" customWidth="1"/>
    <col min="4" max="4" width="10.140625" style="0" customWidth="1"/>
    <col min="5" max="5" width="8.28125" style="0" customWidth="1"/>
    <col min="6" max="6" width="8.00390625" style="0" customWidth="1"/>
    <col min="7" max="7" width="4.7109375" style="0" customWidth="1"/>
    <col min="8" max="8" width="8.421875" style="0" customWidth="1"/>
    <col min="9" max="9" width="10.140625" style="0" customWidth="1"/>
    <col min="10" max="10" width="9.421875" style="0" bestFit="1" customWidth="1"/>
    <col min="11" max="11" width="9.421875" style="6" hidden="1" customWidth="1"/>
    <col min="12" max="12" width="9.28125" style="6" hidden="1" customWidth="1"/>
    <col min="13" max="13" width="9.8515625" style="6" hidden="1" customWidth="1"/>
    <col min="14" max="15" width="0" style="6" hidden="1" customWidth="1"/>
    <col min="16" max="16" width="9.28125" style="6" hidden="1" customWidth="1"/>
    <col min="17" max="17" width="37.421875" style="6" hidden="1" customWidth="1"/>
    <col min="18" max="18" width="6.7109375" style="6" hidden="1" customWidth="1"/>
    <col min="19" max="25" width="0" style="6" hidden="1" customWidth="1"/>
    <col min="26" max="130" width="9.140625" style="6" customWidth="1"/>
  </cols>
  <sheetData>
    <row r="1" spans="1:11" ht="13.5" customHeight="1">
      <c r="A1" s="395"/>
      <c r="B1" s="769" t="s">
        <v>2</v>
      </c>
      <c r="C1" s="770"/>
      <c r="D1" s="770"/>
      <c r="E1" s="770"/>
      <c r="F1" s="770"/>
      <c r="G1" s="770"/>
      <c r="H1" s="771"/>
      <c r="I1" s="626" t="s">
        <v>165</v>
      </c>
      <c r="J1" s="789">
        <f>Summary!I1:I2</f>
        <v>0</v>
      </c>
      <c r="K1" s="22"/>
    </row>
    <row r="2" spans="1:11" ht="13.5" customHeight="1">
      <c r="A2" s="386"/>
      <c r="B2" s="772"/>
      <c r="C2" s="773"/>
      <c r="D2" s="773"/>
      <c r="E2" s="773"/>
      <c r="F2" s="773"/>
      <c r="G2" s="773"/>
      <c r="H2" s="774"/>
      <c r="I2" s="627"/>
      <c r="J2" s="790"/>
      <c r="K2" s="22"/>
    </row>
    <row r="3" spans="1:11" ht="25.5" customHeight="1">
      <c r="A3" s="2"/>
      <c r="B3" s="775">
        <f>Summary!B3:G3</f>
        <v>0</v>
      </c>
      <c r="C3" s="776"/>
      <c r="D3" s="776"/>
      <c r="E3" s="776"/>
      <c r="F3" s="776"/>
      <c r="G3" s="776"/>
      <c r="H3" s="777"/>
      <c r="I3" s="5" t="s">
        <v>0</v>
      </c>
      <c r="J3" s="308">
        <f>Summary!I3</f>
        <v>0</v>
      </c>
      <c r="K3" s="65"/>
    </row>
    <row r="4" spans="1:11" ht="24.75" customHeight="1" thickBot="1">
      <c r="A4" s="2"/>
      <c r="B4" s="778">
        <f>Summary!B4:G4</f>
        <v>0</v>
      </c>
      <c r="C4" s="779"/>
      <c r="D4" s="779"/>
      <c r="E4" s="779"/>
      <c r="F4" s="779"/>
      <c r="G4" s="779"/>
      <c r="H4" s="780"/>
      <c r="I4" s="5" t="s">
        <v>1</v>
      </c>
      <c r="J4" s="361">
        <f>Summary!I4</f>
        <v>0</v>
      </c>
      <c r="K4" s="20"/>
    </row>
    <row r="5" spans="1:19" ht="24.75" customHeight="1" thickBot="1" thickTop="1">
      <c r="A5" s="791" t="s">
        <v>102</v>
      </c>
      <c r="B5" s="792"/>
      <c r="C5" s="792"/>
      <c r="D5" s="792"/>
      <c r="E5" s="792"/>
      <c r="F5" s="792"/>
      <c r="G5" s="792"/>
      <c r="H5" s="792"/>
      <c r="I5" s="792"/>
      <c r="J5" s="793"/>
      <c r="K5" s="66"/>
      <c r="N5" s="17"/>
      <c r="O5" s="17"/>
      <c r="P5" s="17"/>
      <c r="Q5" s="17"/>
      <c r="R5" s="17"/>
      <c r="S5" s="17"/>
    </row>
    <row r="6" spans="1:19" ht="13.5" thickTop="1">
      <c r="A6" s="2"/>
      <c r="B6" s="1"/>
      <c r="C6" s="1"/>
      <c r="D6" s="1"/>
      <c r="E6" s="1"/>
      <c r="F6" s="1"/>
      <c r="G6" s="1"/>
      <c r="H6" s="1"/>
      <c r="I6" s="1"/>
      <c r="J6" s="3"/>
      <c r="K6" s="17"/>
      <c r="N6" s="17"/>
      <c r="O6" s="17"/>
      <c r="P6" s="17"/>
      <c r="Q6" s="18"/>
      <c r="R6" s="19"/>
      <c r="S6" s="17"/>
    </row>
    <row r="7" spans="1:19" ht="18.75" customHeight="1">
      <c r="A7" s="33" t="s">
        <v>46</v>
      </c>
      <c r="B7" s="1"/>
      <c r="C7" s="25"/>
      <c r="D7" s="1"/>
      <c r="E7" s="1"/>
      <c r="F7" s="1"/>
      <c r="G7" s="1"/>
      <c r="H7" s="1"/>
      <c r="I7" s="1"/>
      <c r="J7" s="3"/>
      <c r="K7" s="17"/>
      <c r="L7" s="17"/>
      <c r="M7" s="17"/>
      <c r="N7" s="797" t="s">
        <v>207</v>
      </c>
      <c r="O7" s="17"/>
      <c r="P7" s="17"/>
      <c r="Q7" s="18" t="s">
        <v>43</v>
      </c>
      <c r="R7" s="19" t="s">
        <v>44</v>
      </c>
      <c r="S7" s="17"/>
    </row>
    <row r="8" spans="1:22" ht="20.25" customHeight="1" thickBot="1">
      <c r="A8" s="2"/>
      <c r="B8" s="32" t="s">
        <v>29</v>
      </c>
      <c r="C8" s="794" t="s">
        <v>30</v>
      </c>
      <c r="D8" s="794"/>
      <c r="E8" s="32" t="s">
        <v>31</v>
      </c>
      <c r="F8" s="795" t="s">
        <v>45</v>
      </c>
      <c r="G8" s="796"/>
      <c r="H8" s="32" t="s">
        <v>11</v>
      </c>
      <c r="I8" s="17"/>
      <c r="J8" s="3"/>
      <c r="K8" s="334" t="s">
        <v>31</v>
      </c>
      <c r="L8" s="332" t="s">
        <v>206</v>
      </c>
      <c r="M8" s="333" t="s">
        <v>113</v>
      </c>
      <c r="N8" s="798"/>
      <c r="O8" s="332" t="s">
        <v>203</v>
      </c>
      <c r="P8" s="332" t="s">
        <v>31</v>
      </c>
      <c r="Q8" s="17" t="s">
        <v>7</v>
      </c>
      <c r="R8" s="18" t="s">
        <v>33</v>
      </c>
      <c r="S8" s="19">
        <v>39</v>
      </c>
      <c r="T8" s="17">
        <v>61</v>
      </c>
      <c r="U8" s="6">
        <v>74</v>
      </c>
      <c r="V8" s="6">
        <v>80</v>
      </c>
    </row>
    <row r="9" spans="1:34" ht="15" customHeight="1" thickTop="1">
      <c r="A9" s="2"/>
      <c r="B9" s="71"/>
      <c r="C9" s="788"/>
      <c r="D9" s="788"/>
      <c r="E9" s="30">
        <f>IF(C9=$R$7,0,K9)</f>
        <v>98</v>
      </c>
      <c r="F9" s="802"/>
      <c r="G9" s="803"/>
      <c r="H9" s="31">
        <f>IF(F9&gt;0,F9/$F$25,0)</f>
        <v>0</v>
      </c>
      <c r="I9" s="781">
        <f>IF(O25&gt;0,"Warning:  Impervious surface may not be counted in the pre-development condition without permission from Stormwater staff.","")</f>
      </c>
      <c r="J9" s="782"/>
      <c r="K9" s="331">
        <f>IF(N9=10,$S$8,IF(N9=11,$T$8,IF(N9=12,$U$8,IF(N9=13,$V$8,IF(N9=20,$S$10,IF(N9=21,$T$10,IF(N9=22,$U$10,IF(N9=23,$V$10,98))))))))</f>
        <v>98</v>
      </c>
      <c r="L9" s="28">
        <f>IF(B9=$Q$8,0,IF(B9=$Q$9,1,IF(B9=$Q$10,2,IF(B9=$Q$11,3,""))))</f>
      </c>
      <c r="M9" s="28">
        <f>IF(C9=$R$8,10,IF(C9=$R$10,20,IF(C9=$R$9,0,"")))</f>
      </c>
      <c r="N9" s="28">
        <f>IF(L9="","",IF(M9="","",SUM(L9:M9)))</f>
      </c>
      <c r="O9" s="28">
        <f>IF(N9&lt;4,F9,0)</f>
        <v>0</v>
      </c>
      <c r="P9" s="28">
        <f>E9*F9</f>
        <v>0</v>
      </c>
      <c r="Q9" s="17" t="s">
        <v>8</v>
      </c>
      <c r="R9" s="18" t="s">
        <v>19</v>
      </c>
      <c r="S9" s="19">
        <v>98</v>
      </c>
      <c r="T9" s="17"/>
      <c r="Z9" s="146"/>
      <c r="AA9" s="282" t="s">
        <v>141</v>
      </c>
      <c r="AB9" s="146"/>
      <c r="AC9" s="146"/>
      <c r="AD9" s="146"/>
      <c r="AE9" s="146"/>
      <c r="AF9" s="146"/>
      <c r="AG9" s="146"/>
      <c r="AH9" s="146"/>
    </row>
    <row r="10" spans="1:34" ht="15" customHeight="1">
      <c r="A10" s="2"/>
      <c r="B10" s="72"/>
      <c r="C10" s="788"/>
      <c r="D10" s="788"/>
      <c r="E10" s="30">
        <f aca="true" t="shared" si="0" ref="E10:E20">IF(C10=$R$7,0,K10)</f>
        <v>98</v>
      </c>
      <c r="F10" s="765"/>
      <c r="G10" s="766"/>
      <c r="H10" s="31">
        <f aca="true" t="shared" si="1" ref="H10:H20">IF(F10&gt;0,F10/$F$25,0)</f>
        <v>0</v>
      </c>
      <c r="I10" s="783"/>
      <c r="J10" s="782"/>
      <c r="K10" s="331">
        <f aca="true" t="shared" si="2" ref="K10:K20">IF(N10=10,$S$8,IF(N10=11,$T$8,IF(N10=12,$U$8,IF(N10=13,$V$8,IF(N10=20,$S$10,IF(N10=21,$T$10,IF(N10=22,$U$10,IF(N10=23,$V$10,98))))))))</f>
        <v>98</v>
      </c>
      <c r="L10" s="28">
        <f>IF(B10=$Q$8,0,IF(B10=$Q$9,1,IF(B10=$Q$10,2,IF(B10=$Q$11,3,""))))</f>
      </c>
      <c r="M10" s="28">
        <f>IF(C10=$R$8,10,IF(C10=$R$10,20,IF(C10=$R$9,0,"")))</f>
      </c>
      <c r="N10" s="28">
        <f>IF(L10="","",IF(M10="","",SUM(L10:M10)))</f>
      </c>
      <c r="O10" s="28">
        <f aca="true" t="shared" si="3" ref="O10:O20">IF(N10&lt;4,F10,0)</f>
        <v>0</v>
      </c>
      <c r="P10" s="28">
        <f aca="true" t="shared" si="4" ref="P10:P24">E10*F10</f>
        <v>0</v>
      </c>
      <c r="Q10" s="17" t="s">
        <v>9</v>
      </c>
      <c r="R10" s="17" t="s">
        <v>32</v>
      </c>
      <c r="S10" s="17">
        <v>30</v>
      </c>
      <c r="T10" s="17">
        <v>55</v>
      </c>
      <c r="U10" s="6">
        <v>70</v>
      </c>
      <c r="V10" s="6">
        <v>77</v>
      </c>
      <c r="Z10" s="146"/>
      <c r="AA10" s="146"/>
      <c r="AB10" s="226" t="s">
        <v>67</v>
      </c>
      <c r="AC10" s="146" t="s">
        <v>139</v>
      </c>
      <c r="AD10" s="146"/>
      <c r="AE10" s="146"/>
      <c r="AF10" s="146"/>
      <c r="AG10" s="146"/>
      <c r="AH10" s="146"/>
    </row>
    <row r="11" spans="1:34" ht="15" customHeight="1">
      <c r="A11" s="2"/>
      <c r="B11" s="72"/>
      <c r="C11" s="788"/>
      <c r="D11" s="788"/>
      <c r="E11" s="30">
        <f t="shared" si="0"/>
        <v>98</v>
      </c>
      <c r="F11" s="765"/>
      <c r="G11" s="766"/>
      <c r="H11" s="31">
        <f t="shared" si="1"/>
        <v>0</v>
      </c>
      <c r="I11" s="783"/>
      <c r="J11" s="782"/>
      <c r="K11" s="331">
        <f t="shared" si="2"/>
        <v>98</v>
      </c>
      <c r="L11" s="28">
        <f aca="true" t="shared" si="5" ref="L11:L20">IF(B11=$Q$8,0,IF(B11=$Q$9,1,IF(B11=$Q$10,2,IF(B11=$Q$11,3,""))))</f>
      </c>
      <c r="M11" s="28">
        <f aca="true" t="shared" si="6" ref="M11:M20">IF(C11=$R$8,10,IF(C11=$R$10,20,IF(C11=$R$9,0,"")))</f>
      </c>
      <c r="N11" s="28">
        <f aca="true" t="shared" si="7" ref="N11:N20">IF(L11="","",IF(M11="","",SUM(L11:M11)))</f>
      </c>
      <c r="O11" s="28">
        <f t="shared" si="3"/>
        <v>0</v>
      </c>
      <c r="P11" s="28">
        <f t="shared" si="4"/>
        <v>0</v>
      </c>
      <c r="Q11" s="17" t="s">
        <v>10</v>
      </c>
      <c r="R11" s="18"/>
      <c r="S11" s="17"/>
      <c r="T11" s="17"/>
      <c r="V11" s="17"/>
      <c r="Z11" s="146"/>
      <c r="AA11" s="146"/>
      <c r="AB11" s="226" t="s">
        <v>67</v>
      </c>
      <c r="AC11" s="264">
        <f>IF(D32&gt;0,(1000/D32)-10,0)</f>
        <v>0</v>
      </c>
      <c r="AD11" s="146"/>
      <c r="AE11" s="146"/>
      <c r="AF11" s="146"/>
      <c r="AG11" s="146"/>
      <c r="AH11" s="146"/>
    </row>
    <row r="12" spans="1:34" ht="15" customHeight="1">
      <c r="A12" s="2"/>
      <c r="B12" s="72"/>
      <c r="C12" s="788"/>
      <c r="D12" s="788"/>
      <c r="E12" s="30">
        <f t="shared" si="0"/>
        <v>98</v>
      </c>
      <c r="F12" s="765"/>
      <c r="G12" s="766"/>
      <c r="H12" s="31">
        <f t="shared" si="1"/>
        <v>0</v>
      </c>
      <c r="I12" s="784"/>
      <c r="J12" s="785"/>
      <c r="K12" s="331">
        <f t="shared" si="2"/>
        <v>98</v>
      </c>
      <c r="L12" s="28">
        <f t="shared" si="5"/>
      </c>
      <c r="M12" s="28">
        <f t="shared" si="6"/>
      </c>
      <c r="N12" s="28">
        <f t="shared" si="7"/>
      </c>
      <c r="O12" s="28">
        <f t="shared" si="3"/>
        <v>0</v>
      </c>
      <c r="P12" s="28">
        <f t="shared" si="4"/>
        <v>0</v>
      </c>
      <c r="Q12" s="17"/>
      <c r="R12" s="17"/>
      <c r="S12" s="17"/>
      <c r="T12" s="17"/>
      <c r="Z12" s="146"/>
      <c r="AA12" s="146"/>
      <c r="AB12" s="226" t="s">
        <v>138</v>
      </c>
      <c r="AC12" s="146" t="s">
        <v>140</v>
      </c>
      <c r="AD12" s="146"/>
      <c r="AE12" s="146"/>
      <c r="AF12" s="146"/>
      <c r="AG12" s="146"/>
      <c r="AH12" s="146"/>
    </row>
    <row r="13" spans="1:34" ht="15" customHeight="1">
      <c r="A13" s="2"/>
      <c r="B13" s="72"/>
      <c r="C13" s="788"/>
      <c r="D13" s="788"/>
      <c r="E13" s="67">
        <f t="shared" si="0"/>
        <v>98</v>
      </c>
      <c r="F13" s="765"/>
      <c r="G13" s="766"/>
      <c r="H13" s="31">
        <f t="shared" si="1"/>
        <v>0</v>
      </c>
      <c r="I13" s="784"/>
      <c r="J13" s="785"/>
      <c r="K13" s="331">
        <f t="shared" si="2"/>
        <v>98</v>
      </c>
      <c r="L13" s="28">
        <f t="shared" si="5"/>
      </c>
      <c r="M13" s="28">
        <f t="shared" si="6"/>
      </c>
      <c r="N13" s="28">
        <f t="shared" si="7"/>
      </c>
      <c r="O13" s="28">
        <f t="shared" si="3"/>
        <v>0</v>
      </c>
      <c r="P13" s="28">
        <f t="shared" si="4"/>
        <v>0</v>
      </c>
      <c r="Z13" s="146"/>
      <c r="AA13" s="146"/>
      <c r="AB13" s="226" t="s">
        <v>193</v>
      </c>
      <c r="AC13" s="264">
        <f>Summary!E25</f>
        <v>3.7</v>
      </c>
      <c r="AD13" s="146"/>
      <c r="AE13" s="146"/>
      <c r="AF13" s="146"/>
      <c r="AG13" s="146"/>
      <c r="AH13" s="146"/>
    </row>
    <row r="14" spans="1:34" ht="15" customHeight="1">
      <c r="A14" s="2"/>
      <c r="B14" s="72"/>
      <c r="C14" s="788"/>
      <c r="D14" s="788"/>
      <c r="E14" s="67">
        <f t="shared" si="0"/>
        <v>98</v>
      </c>
      <c r="F14" s="763"/>
      <c r="G14" s="764"/>
      <c r="H14" s="31">
        <f t="shared" si="1"/>
        <v>0</v>
      </c>
      <c r="I14" s="786"/>
      <c r="J14" s="787"/>
      <c r="K14" s="331">
        <f t="shared" si="2"/>
        <v>98</v>
      </c>
      <c r="L14" s="28">
        <f t="shared" si="5"/>
      </c>
      <c r="M14" s="28">
        <f t="shared" si="6"/>
      </c>
      <c r="N14" s="28">
        <f t="shared" si="7"/>
      </c>
      <c r="O14" s="28">
        <f t="shared" si="3"/>
        <v>0</v>
      </c>
      <c r="P14" s="28">
        <f t="shared" si="4"/>
        <v>0</v>
      </c>
      <c r="Q14" s="6" t="s">
        <v>34</v>
      </c>
      <c r="R14" s="6" t="s">
        <v>38</v>
      </c>
      <c r="Z14" s="146"/>
      <c r="AA14" s="146"/>
      <c r="AB14" s="238" t="s">
        <v>190</v>
      </c>
      <c r="AC14" s="298">
        <f>IF(0.2*AC11&gt;AC13,0,((AC13-(0.2*AC11))^2)/(AC13+(0.8*AC11)))</f>
        <v>3.7</v>
      </c>
      <c r="AD14" s="270" t="s">
        <v>28</v>
      </c>
      <c r="AE14" s="146"/>
      <c r="AF14" s="146"/>
      <c r="AG14" s="146"/>
      <c r="AH14" s="146"/>
    </row>
    <row r="15" spans="1:34" ht="15" customHeight="1">
      <c r="A15" s="2"/>
      <c r="B15" s="72"/>
      <c r="C15" s="788"/>
      <c r="D15" s="788"/>
      <c r="E15" s="67">
        <f t="shared" si="0"/>
        <v>98</v>
      </c>
      <c r="F15" s="763"/>
      <c r="G15" s="764"/>
      <c r="H15" s="31">
        <f t="shared" si="1"/>
        <v>0</v>
      </c>
      <c r="I15" s="17"/>
      <c r="J15" s="3"/>
      <c r="K15" s="331">
        <f t="shared" si="2"/>
        <v>98</v>
      </c>
      <c r="L15" s="28">
        <f t="shared" si="5"/>
      </c>
      <c r="M15" s="28">
        <f t="shared" si="6"/>
      </c>
      <c r="N15" s="28">
        <f t="shared" si="7"/>
      </c>
      <c r="O15" s="28">
        <f t="shared" si="3"/>
        <v>0</v>
      </c>
      <c r="P15" s="28">
        <f t="shared" si="4"/>
        <v>0</v>
      </c>
      <c r="Q15" s="6" t="s">
        <v>35</v>
      </c>
      <c r="R15" s="6" t="s">
        <v>39</v>
      </c>
      <c r="Z15" s="146"/>
      <c r="AA15" s="146"/>
      <c r="AB15" s="226" t="s">
        <v>192</v>
      </c>
      <c r="AC15" s="264">
        <f>Summary!E24</f>
        <v>1.5</v>
      </c>
      <c r="AD15" s="146"/>
      <c r="AE15" s="146"/>
      <c r="AF15" s="146"/>
      <c r="AG15" s="146"/>
      <c r="AH15" s="146"/>
    </row>
    <row r="16" spans="1:34" ht="15" customHeight="1">
      <c r="A16" s="2"/>
      <c r="B16" s="72"/>
      <c r="C16" s="788"/>
      <c r="D16" s="788"/>
      <c r="E16" s="67">
        <f t="shared" si="0"/>
        <v>98</v>
      </c>
      <c r="F16" s="763"/>
      <c r="G16" s="764"/>
      <c r="H16" s="31">
        <f t="shared" si="1"/>
        <v>0</v>
      </c>
      <c r="I16" s="17"/>
      <c r="J16" s="3"/>
      <c r="K16" s="331">
        <f t="shared" si="2"/>
        <v>98</v>
      </c>
      <c r="L16" s="28">
        <f t="shared" si="5"/>
      </c>
      <c r="M16" s="28">
        <f t="shared" si="6"/>
      </c>
      <c r="N16" s="28">
        <f t="shared" si="7"/>
      </c>
      <c r="O16" s="28">
        <f t="shared" si="3"/>
        <v>0</v>
      </c>
      <c r="P16" s="28">
        <f t="shared" si="4"/>
        <v>0</v>
      </c>
      <c r="Q16" s="6" t="s">
        <v>36</v>
      </c>
      <c r="R16" s="6" t="s">
        <v>40</v>
      </c>
      <c r="Z16" s="146"/>
      <c r="AA16" s="146"/>
      <c r="AB16" s="238" t="s">
        <v>197</v>
      </c>
      <c r="AC16" s="298">
        <f>((AC15-(0.2*P32))^2)/(AC15+(0.8*P32))</f>
        <v>1.2801427319394016</v>
      </c>
      <c r="AD16" s="270" t="s">
        <v>28</v>
      </c>
      <c r="AE16" s="799" t="s">
        <v>209</v>
      </c>
      <c r="AF16" s="800"/>
      <c r="AG16" s="800"/>
      <c r="AH16" s="801"/>
    </row>
    <row r="17" spans="1:34" ht="15" customHeight="1">
      <c r="A17" s="2"/>
      <c r="B17" s="72"/>
      <c r="C17" s="788"/>
      <c r="D17" s="788"/>
      <c r="E17" s="67">
        <f t="shared" si="0"/>
        <v>98</v>
      </c>
      <c r="F17" s="765"/>
      <c r="G17" s="766"/>
      <c r="H17" s="31">
        <f t="shared" si="1"/>
        <v>0</v>
      </c>
      <c r="I17" s="17"/>
      <c r="J17" s="3"/>
      <c r="K17" s="331">
        <f t="shared" si="2"/>
        <v>98</v>
      </c>
      <c r="L17" s="28">
        <f t="shared" si="5"/>
      </c>
      <c r="M17" s="28">
        <f t="shared" si="6"/>
      </c>
      <c r="N17" s="28">
        <f t="shared" si="7"/>
      </c>
      <c r="O17" s="28">
        <f t="shared" si="3"/>
        <v>0</v>
      </c>
      <c r="P17" s="28">
        <f t="shared" si="4"/>
        <v>0</v>
      </c>
      <c r="Q17" s="6" t="s">
        <v>37</v>
      </c>
      <c r="Z17" s="146"/>
      <c r="AA17" s="146"/>
      <c r="AB17" s="238" t="s">
        <v>198</v>
      </c>
      <c r="AC17" s="298">
        <f>IF((0.2*P33)&gt;=AC15,0,((AC15-(0.2*P33))^2)/(AC15+(0.8*P33)))</f>
        <v>1.5</v>
      </c>
      <c r="AD17" s="270" t="s">
        <v>28</v>
      </c>
      <c r="AE17" s="800"/>
      <c r="AF17" s="800"/>
      <c r="AG17" s="800"/>
      <c r="AH17" s="801"/>
    </row>
    <row r="18" spans="1:34" ht="15" customHeight="1">
      <c r="A18" s="2"/>
      <c r="B18" s="72"/>
      <c r="C18" s="788"/>
      <c r="D18" s="788"/>
      <c r="E18" s="67">
        <f t="shared" si="0"/>
        <v>98</v>
      </c>
      <c r="F18" s="765"/>
      <c r="G18" s="766"/>
      <c r="H18" s="31">
        <f t="shared" si="1"/>
        <v>0</v>
      </c>
      <c r="I18" s="17"/>
      <c r="J18" s="3"/>
      <c r="K18" s="331">
        <f t="shared" si="2"/>
        <v>98</v>
      </c>
      <c r="L18" s="28">
        <f t="shared" si="5"/>
      </c>
      <c r="M18" s="28">
        <f t="shared" si="6"/>
      </c>
      <c r="N18" s="28">
        <f t="shared" si="7"/>
      </c>
      <c r="O18" s="28">
        <f t="shared" si="3"/>
        <v>0</v>
      </c>
      <c r="P18" s="28">
        <f t="shared" si="4"/>
        <v>0</v>
      </c>
      <c r="Z18" s="146"/>
      <c r="AA18" s="146"/>
      <c r="AB18" s="293"/>
      <c r="AC18" s="293"/>
      <c r="AD18" s="293"/>
      <c r="AE18" s="146"/>
      <c r="AF18" s="146"/>
      <c r="AG18" s="146"/>
      <c r="AH18" s="146"/>
    </row>
    <row r="19" spans="1:34" ht="15" customHeight="1">
      <c r="A19" s="2"/>
      <c r="B19" s="72"/>
      <c r="C19" s="788"/>
      <c r="D19" s="788"/>
      <c r="E19" s="67">
        <f t="shared" si="0"/>
        <v>98</v>
      </c>
      <c r="F19" s="765"/>
      <c r="G19" s="766"/>
      <c r="H19" s="31">
        <f t="shared" si="1"/>
        <v>0</v>
      </c>
      <c r="I19" s="17"/>
      <c r="J19" s="3"/>
      <c r="K19" s="555">
        <f t="shared" si="2"/>
        <v>98</v>
      </c>
      <c r="L19" s="556">
        <f t="shared" si="5"/>
      </c>
      <c r="M19" s="556">
        <f t="shared" si="6"/>
      </c>
      <c r="N19" s="556">
        <f t="shared" si="7"/>
      </c>
      <c r="O19" s="556">
        <f t="shared" si="3"/>
        <v>0</v>
      </c>
      <c r="P19" s="556">
        <f t="shared" si="4"/>
        <v>0</v>
      </c>
      <c r="Z19" s="146"/>
      <c r="AA19" s="826">
        <f>IF(F28+F29&gt;0,"Note: Lakes and Wetlands must be preserved in post development condition, otherwise enter as woods in the land use section.","")</f>
      </c>
      <c r="AB19" s="827"/>
      <c r="AC19" s="827"/>
      <c r="AD19" s="827"/>
      <c r="AE19" s="827"/>
      <c r="AF19" s="827"/>
      <c r="AG19" s="827"/>
      <c r="AH19" s="146"/>
    </row>
    <row r="20" spans="1:34" ht="15" customHeight="1">
      <c r="A20" s="2"/>
      <c r="B20" s="72"/>
      <c r="C20" s="835"/>
      <c r="D20" s="835"/>
      <c r="E20" s="551">
        <f t="shared" si="0"/>
        <v>98</v>
      </c>
      <c r="F20" s="765"/>
      <c r="G20" s="766"/>
      <c r="H20" s="31">
        <f t="shared" si="1"/>
        <v>0</v>
      </c>
      <c r="I20" s="17"/>
      <c r="J20" s="3"/>
      <c r="K20" s="28">
        <f t="shared" si="2"/>
        <v>98</v>
      </c>
      <c r="L20" s="28">
        <f t="shared" si="5"/>
      </c>
      <c r="M20" s="28">
        <f t="shared" si="6"/>
      </c>
      <c r="N20" s="28">
        <f t="shared" si="7"/>
      </c>
      <c r="O20" s="28">
        <f t="shared" si="3"/>
        <v>0</v>
      </c>
      <c r="P20" s="28">
        <f t="shared" si="4"/>
        <v>0</v>
      </c>
      <c r="Z20" s="146"/>
      <c r="AA20" s="827"/>
      <c r="AB20" s="827"/>
      <c r="AC20" s="827"/>
      <c r="AD20" s="827"/>
      <c r="AE20" s="827"/>
      <c r="AF20" s="827"/>
      <c r="AG20" s="827"/>
      <c r="AH20" s="146"/>
    </row>
    <row r="21" spans="1:34" ht="15" customHeight="1">
      <c r="A21" s="2"/>
      <c r="B21" s="132"/>
      <c r="C21" s="552"/>
      <c r="D21" s="552"/>
      <c r="E21" s="561"/>
      <c r="F21" s="817" t="s">
        <v>453</v>
      </c>
      <c r="G21" s="817" t="s">
        <v>454</v>
      </c>
      <c r="H21" s="133"/>
      <c r="I21" s="17"/>
      <c r="J21" s="3"/>
      <c r="K21" s="17"/>
      <c r="L21" s="17"/>
      <c r="M21" s="17"/>
      <c r="N21" s="17"/>
      <c r="O21" s="17"/>
      <c r="P21" s="17"/>
      <c r="Z21" s="146"/>
      <c r="AA21" s="146"/>
      <c r="AB21" s="146"/>
      <c r="AC21" s="146"/>
      <c r="AD21" s="146"/>
      <c r="AE21" s="146"/>
      <c r="AF21" s="146"/>
      <c r="AG21" s="146"/>
      <c r="AH21" s="146"/>
    </row>
    <row r="22" spans="1:34" ht="15" customHeight="1">
      <c r="A22" s="2"/>
      <c r="B22" s="132"/>
      <c r="C22" s="552"/>
      <c r="D22" s="552"/>
      <c r="E22" s="561" t="s">
        <v>31</v>
      </c>
      <c r="F22" s="818"/>
      <c r="G22" s="818"/>
      <c r="H22" s="133"/>
      <c r="I22" s="17"/>
      <c r="J22" s="3"/>
      <c r="K22" s="17"/>
      <c r="L22" s="17"/>
      <c r="M22" s="17"/>
      <c r="N22" s="17"/>
      <c r="O22" s="17"/>
      <c r="P22" s="17"/>
      <c r="Z22" s="146"/>
      <c r="AA22" s="282" t="s">
        <v>170</v>
      </c>
      <c r="AB22" s="146"/>
      <c r="AC22" s="146"/>
      <c r="AD22" s="146"/>
      <c r="AE22" s="146"/>
      <c r="AF22" s="146"/>
      <c r="AG22" s="146"/>
      <c r="AH22" s="146"/>
    </row>
    <row r="23" spans="1:34" ht="15" customHeight="1">
      <c r="A23" s="26" t="s">
        <v>41</v>
      </c>
      <c r="B23" s="72"/>
      <c r="C23" s="808"/>
      <c r="D23" s="808"/>
      <c r="E23" s="397"/>
      <c r="F23" s="72"/>
      <c r="G23" s="72"/>
      <c r="H23" s="29">
        <f>IF(F23&gt;0,F23/$F$25,0)</f>
        <v>0</v>
      </c>
      <c r="I23" s="836">
        <f>IF(OR(AND(F23&gt;0,E23&lt;39),AND(F24&gt;0,E24&lt;39),E23&gt;98,E24&gt;98),"Warning -User Defined CN out of range.",IF(OR(F23&gt;0,F24&gt;0),"Documentation required for all User Defined areas.",""))</f>
      </c>
      <c r="J23" s="837"/>
      <c r="K23" s="28">
        <f>ROUND(E23,0)</f>
        <v>0</v>
      </c>
      <c r="L23" s="28">
        <f>IF(B23=$Q$8,0,IF(B23=$Q$9,1,IF(B23=$Q$10,2,IF(B23=$Q$11,3,""))))</f>
      </c>
      <c r="M23" s="28"/>
      <c r="N23" s="28"/>
      <c r="O23" s="28">
        <f>G23*F23/100</f>
        <v>0</v>
      </c>
      <c r="P23" s="28">
        <f t="shared" si="4"/>
        <v>0</v>
      </c>
      <c r="Z23" s="146"/>
      <c r="AA23" s="146" t="s">
        <v>142</v>
      </c>
      <c r="AB23" s="146"/>
      <c r="AC23" s="146"/>
      <c r="AD23" s="146"/>
      <c r="AE23" s="146"/>
      <c r="AF23" s="146"/>
      <c r="AG23" s="146"/>
      <c r="AH23" s="146"/>
    </row>
    <row r="24" spans="1:34" ht="15" customHeight="1">
      <c r="A24" s="26" t="s">
        <v>41</v>
      </c>
      <c r="B24" s="72"/>
      <c r="C24" s="808"/>
      <c r="D24" s="808"/>
      <c r="E24" s="397"/>
      <c r="F24" s="72"/>
      <c r="G24" s="72"/>
      <c r="H24" s="29">
        <f>IF(F24&gt;0,F24/$F$25,0)</f>
        <v>0</v>
      </c>
      <c r="I24" s="836"/>
      <c r="J24" s="837"/>
      <c r="K24" s="557">
        <f>ROUND(E24,0)</f>
        <v>0</v>
      </c>
      <c r="L24" s="28">
        <f>IF(B24=$Q$8,0,IF(B24=$Q$9,1,IF(B24=$Q$10,2,IF(B24=$Q$11,3,""))))</f>
      </c>
      <c r="M24" s="558"/>
      <c r="N24" s="558"/>
      <c r="O24" s="28">
        <f>G24*F24/100</f>
        <v>0</v>
      </c>
      <c r="P24" s="558">
        <f t="shared" si="4"/>
        <v>0</v>
      </c>
      <c r="Z24" s="146"/>
      <c r="AA24" s="146"/>
      <c r="AB24" s="146"/>
      <c r="AC24" s="146"/>
      <c r="AD24" s="146"/>
      <c r="AE24" s="146"/>
      <c r="AF24" s="146"/>
      <c r="AG24" s="146"/>
      <c r="AH24" s="146"/>
    </row>
    <row r="25" spans="1:34" ht="15" customHeight="1">
      <c r="A25" s="2"/>
      <c r="B25" s="810" t="s">
        <v>431</v>
      </c>
      <c r="C25" s="811"/>
      <c r="D25" s="811"/>
      <c r="E25" s="812"/>
      <c r="F25" s="27">
        <f>SUM(F9:F24)</f>
        <v>0</v>
      </c>
      <c r="G25" s="27"/>
      <c r="H25" s="29">
        <f>SUM(H9:H24)</f>
        <v>0</v>
      </c>
      <c r="I25" s="836"/>
      <c r="J25" s="837"/>
      <c r="K25" s="331"/>
      <c r="L25" s="28"/>
      <c r="M25" s="28"/>
      <c r="N25" s="28" t="s">
        <v>202</v>
      </c>
      <c r="O25" s="28">
        <f>SUM(O9:O24)</f>
        <v>0</v>
      </c>
      <c r="P25" s="28">
        <f>SUM(P9:P24)</f>
        <v>0</v>
      </c>
      <c r="Z25" s="146"/>
      <c r="AA25" s="226" t="s">
        <v>143</v>
      </c>
      <c r="AB25" s="146" t="s">
        <v>144</v>
      </c>
      <c r="AC25" s="146"/>
      <c r="AD25" s="146"/>
      <c r="AE25" s="146"/>
      <c r="AF25" s="146"/>
      <c r="AG25" s="146"/>
      <c r="AH25" s="146"/>
    </row>
    <row r="26" spans="1:34" ht="15" customHeight="1">
      <c r="A26" s="2"/>
      <c r="B26" s="17"/>
      <c r="C26" s="17"/>
      <c r="D26" s="17"/>
      <c r="E26" s="17"/>
      <c r="F26" s="21"/>
      <c r="G26" s="21"/>
      <c r="H26" s="23"/>
      <c r="I26" s="17"/>
      <c r="J26" s="3"/>
      <c r="K26" s="17"/>
      <c r="O26" s="6" t="s">
        <v>204</v>
      </c>
      <c r="P26" s="6">
        <f>IF(F25&gt;0,ROUND((P25-(O25*98))/F25,0),0)</f>
        <v>0</v>
      </c>
      <c r="Z26" s="146"/>
      <c r="AA26" s="294"/>
      <c r="AB26" s="294" t="s">
        <v>136</v>
      </c>
      <c r="AC26" s="146"/>
      <c r="AD26" s="146"/>
      <c r="AE26" s="146"/>
      <c r="AF26" s="146"/>
      <c r="AG26" s="146"/>
      <c r="AH26" s="146"/>
    </row>
    <row r="27" spans="1:34" ht="12.75" customHeight="1">
      <c r="A27" s="2"/>
      <c r="B27" s="816" t="s">
        <v>435</v>
      </c>
      <c r="C27" s="816"/>
      <c r="D27" s="816"/>
      <c r="E27" s="816"/>
      <c r="F27" s="816"/>
      <c r="G27" s="553"/>
      <c r="H27" s="23"/>
      <c r="I27" s="838"/>
      <c r="J27" s="839"/>
      <c r="K27" s="17"/>
      <c r="Z27" s="146"/>
      <c r="AA27" s="295" t="s">
        <v>147</v>
      </c>
      <c r="AB27" s="294" t="s">
        <v>145</v>
      </c>
      <c r="AC27" s="146"/>
      <c r="AD27" s="146"/>
      <c r="AE27" s="146"/>
      <c r="AF27" s="146"/>
      <c r="AG27" s="146"/>
      <c r="AH27" s="146"/>
    </row>
    <row r="28" spans="1:34" ht="12.75" customHeight="1">
      <c r="A28" s="2"/>
      <c r="B28" s="809" t="s">
        <v>450</v>
      </c>
      <c r="C28" s="809"/>
      <c r="D28" s="809"/>
      <c r="E28" s="809"/>
      <c r="F28" s="765"/>
      <c r="G28" s="766"/>
      <c r="H28" s="29" t="s">
        <v>12</v>
      </c>
      <c r="I28" s="838"/>
      <c r="J28" s="839"/>
      <c r="K28" s="17"/>
      <c r="Z28" s="146"/>
      <c r="AA28" s="295" t="s">
        <v>146</v>
      </c>
      <c r="AB28" s="294" t="s">
        <v>148</v>
      </c>
      <c r="AC28" s="146"/>
      <c r="AD28" s="146"/>
      <c r="AE28" s="146"/>
      <c r="AF28" s="146"/>
      <c r="AG28" s="146"/>
      <c r="AH28" s="146"/>
    </row>
    <row r="29" spans="1:34" ht="15">
      <c r="A29" s="2"/>
      <c r="B29" s="809" t="s">
        <v>451</v>
      </c>
      <c r="C29" s="809"/>
      <c r="D29" s="809"/>
      <c r="E29" s="809"/>
      <c r="F29" s="765"/>
      <c r="G29" s="766"/>
      <c r="H29" s="29" t="s">
        <v>12</v>
      </c>
      <c r="I29" s="838"/>
      <c r="J29" s="839"/>
      <c r="K29" s="17"/>
      <c r="Z29" s="146"/>
      <c r="AA29" s="295" t="s">
        <v>151</v>
      </c>
      <c r="AB29" s="294" t="s">
        <v>210</v>
      </c>
      <c r="AC29" s="146"/>
      <c r="AD29" s="146"/>
      <c r="AE29" s="146"/>
      <c r="AF29" s="146"/>
      <c r="AG29" s="146"/>
      <c r="AH29" s="146"/>
    </row>
    <row r="30" spans="1:34" ht="12.75">
      <c r="A30" s="2"/>
      <c r="B30" s="20"/>
      <c r="C30" s="20"/>
      <c r="D30" s="815" t="s">
        <v>106</v>
      </c>
      <c r="E30" s="815"/>
      <c r="F30" s="767">
        <f>F25+F28+F29</f>
        <v>0</v>
      </c>
      <c r="G30" s="768"/>
      <c r="H30" s="523" t="s">
        <v>12</v>
      </c>
      <c r="I30" s="838"/>
      <c r="J30" s="839"/>
      <c r="K30" s="17"/>
      <c r="Z30" s="146"/>
      <c r="AA30" s="295" t="s">
        <v>149</v>
      </c>
      <c r="AB30" s="294" t="s">
        <v>150</v>
      </c>
      <c r="AC30" s="146"/>
      <c r="AD30" s="146"/>
      <c r="AE30" s="146"/>
      <c r="AF30" s="146"/>
      <c r="AG30" s="146"/>
      <c r="AH30" s="146"/>
    </row>
    <row r="31" spans="1:34" ht="18" customHeight="1" thickBot="1">
      <c r="A31" s="2"/>
      <c r="B31" s="17"/>
      <c r="C31" s="17"/>
      <c r="D31" s="17"/>
      <c r="E31" s="17"/>
      <c r="F31" s="21"/>
      <c r="G31" s="21"/>
      <c r="H31" s="23"/>
      <c r="I31" s="838"/>
      <c r="J31" s="839"/>
      <c r="K31" s="17"/>
      <c r="Z31" s="146"/>
      <c r="AA31" s="146"/>
      <c r="AB31" s="146"/>
      <c r="AC31" s="146"/>
      <c r="AD31" s="146"/>
      <c r="AE31" s="146"/>
      <c r="AF31" s="146"/>
      <c r="AG31" s="146"/>
      <c r="AH31" s="146"/>
    </row>
    <row r="32" spans="1:34" ht="17.25" thickBot="1">
      <c r="A32" s="2"/>
      <c r="B32" s="55" t="s">
        <v>42</v>
      </c>
      <c r="C32" s="56"/>
      <c r="D32" s="57">
        <f>IF(F30&gt;0,ROUND((E9*H9)+(E10*H10)+(E11*H11)+(E12*H12)+(E13*H13)+(E14*H14)+(E15*H15)+(E16*H16)+(E17*H17)+(E18*H18)+(E19*H19)+(E20*H20)+(E23*H23)+(E24*H24),0),0)</f>
        <v>0</v>
      </c>
      <c r="E32" s="17"/>
      <c r="F32" s="1"/>
      <c r="G32" s="1"/>
      <c r="H32" s="17"/>
      <c r="I32" s="530"/>
      <c r="J32" s="531"/>
      <c r="K32" s="17"/>
      <c r="O32" s="6" t="s">
        <v>205</v>
      </c>
      <c r="P32" s="6">
        <f>(1000/98)-10</f>
        <v>0.204081632653061</v>
      </c>
      <c r="Z32" s="146"/>
      <c r="AA32" s="226" t="s">
        <v>152</v>
      </c>
      <c r="AB32" s="146" t="s">
        <v>157</v>
      </c>
      <c r="AC32" s="146"/>
      <c r="AD32" s="146"/>
      <c r="AE32" s="146"/>
      <c r="AF32" s="146"/>
      <c r="AG32" s="146"/>
      <c r="AH32" s="146"/>
    </row>
    <row r="33" spans="1:34" ht="15.75" customHeight="1" thickBot="1">
      <c r="A33" s="2"/>
      <c r="B33" s="1"/>
      <c r="C33" s="1"/>
      <c r="D33" s="1"/>
      <c r="E33" s="1"/>
      <c r="F33" s="1"/>
      <c r="G33" s="1"/>
      <c r="H33" s="17"/>
      <c r="I33" s="17"/>
      <c r="J33" s="3"/>
      <c r="K33" s="17"/>
      <c r="O33" s="6" t="s">
        <v>208</v>
      </c>
      <c r="P33" s="6">
        <f>IF(P26&gt;0,(1000/P26)-10,0)</f>
        <v>0</v>
      </c>
      <c r="Z33" s="146"/>
      <c r="AA33" s="146"/>
      <c r="AB33" s="296" t="s">
        <v>153</v>
      </c>
      <c r="AC33" s="297"/>
      <c r="AD33" s="297"/>
      <c r="AE33" s="146"/>
      <c r="AF33" s="146"/>
      <c r="AG33" s="146"/>
      <c r="AH33" s="146"/>
    </row>
    <row r="34" spans="1:34" ht="16.5" thickBot="1">
      <c r="A34" s="2"/>
      <c r="B34" s="344"/>
      <c r="C34" s="345"/>
      <c r="D34" s="346" t="s">
        <v>200</v>
      </c>
      <c r="E34" s="347">
        <f>IF(F30&gt;0,(AC16*O25)+(AC17*(F25-O25)),0)</f>
        <v>0</v>
      </c>
      <c r="F34" s="322" t="s">
        <v>201</v>
      </c>
      <c r="G34" s="554"/>
      <c r="H34" s="483">
        <f>IF(E34="","",E34/12*43560)</f>
        <v>0</v>
      </c>
      <c r="I34" s="559" t="s">
        <v>25</v>
      </c>
      <c r="J34" s="3"/>
      <c r="K34" s="17"/>
      <c r="Z34" s="146"/>
      <c r="AA34" s="146"/>
      <c r="AB34" s="226" t="s">
        <v>154</v>
      </c>
      <c r="AC34" s="145" t="s">
        <v>158</v>
      </c>
      <c r="AD34" s="146"/>
      <c r="AE34" s="146"/>
      <c r="AF34" s="146"/>
      <c r="AG34" s="146"/>
      <c r="AH34" s="146"/>
    </row>
    <row r="35" spans="1:34" ht="19.5" customHeight="1" thickBot="1" thickTop="1">
      <c r="A35" s="2"/>
      <c r="B35" s="86"/>
      <c r="C35" s="341"/>
      <c r="D35" s="342" t="s">
        <v>199</v>
      </c>
      <c r="E35" s="343">
        <f>IF(F30&gt;0,AC14*F25,0)</f>
        <v>0</v>
      </c>
      <c r="F35" s="194" t="s">
        <v>201</v>
      </c>
      <c r="G35" s="194"/>
      <c r="H35" s="483">
        <f>IF(E35="","",E35/12*43560)</f>
        <v>0</v>
      </c>
      <c r="I35" s="560" t="s">
        <v>25</v>
      </c>
      <c r="J35" s="3"/>
      <c r="K35" s="17"/>
      <c r="Z35" s="146"/>
      <c r="AA35" s="146"/>
      <c r="AB35" s="146" t="s">
        <v>155</v>
      </c>
      <c r="AC35" s="146"/>
      <c r="AD35" s="146"/>
      <c r="AE35" s="146"/>
      <c r="AF35" s="146"/>
      <c r="AG35" s="146"/>
      <c r="AH35" s="146"/>
    </row>
    <row r="36" spans="1:34" ht="15" customHeight="1">
      <c r="A36" s="2"/>
      <c r="B36" s="17"/>
      <c r="C36" s="17"/>
      <c r="D36" s="23"/>
      <c r="E36" s="813"/>
      <c r="F36" s="814"/>
      <c r="G36" s="22"/>
      <c r="H36" s="17"/>
      <c r="I36" s="17"/>
      <c r="J36" s="3"/>
      <c r="K36" s="17"/>
      <c r="N36" s="8"/>
      <c r="O36" s="8"/>
      <c r="P36" s="8"/>
      <c r="Q36" s="325" t="s">
        <v>54</v>
      </c>
      <c r="R36" s="326">
        <v>0.011</v>
      </c>
      <c r="Z36" s="146"/>
      <c r="AA36" s="146"/>
      <c r="AB36" s="226" t="s">
        <v>154</v>
      </c>
      <c r="AC36" s="146" t="s">
        <v>156</v>
      </c>
      <c r="AD36" s="146"/>
      <c r="AE36" s="146"/>
      <c r="AF36" s="146"/>
      <c r="AG36" s="146"/>
      <c r="AH36" s="146"/>
    </row>
    <row r="37" spans="1:34" ht="15.75" customHeight="1">
      <c r="A37" s="33" t="s">
        <v>47</v>
      </c>
      <c r="B37" s="17"/>
      <c r="C37" s="17"/>
      <c r="D37" s="23"/>
      <c r="E37" s="813"/>
      <c r="F37" s="814"/>
      <c r="G37" s="22"/>
      <c r="H37" s="17"/>
      <c r="I37" s="17"/>
      <c r="J37" s="3"/>
      <c r="K37" s="17"/>
      <c r="L37" s="9"/>
      <c r="M37" s="10"/>
      <c r="N37" s="11"/>
      <c r="O37" s="11"/>
      <c r="P37" s="11"/>
      <c r="Q37" s="327" t="s">
        <v>55</v>
      </c>
      <c r="R37" s="328">
        <v>0.24</v>
      </c>
      <c r="Z37" s="146"/>
      <c r="AA37" s="146"/>
      <c r="AB37" s="146"/>
      <c r="AC37" s="146"/>
      <c r="AD37" s="146"/>
      <c r="AE37" s="146"/>
      <c r="AF37" s="146"/>
      <c r="AG37" s="146"/>
      <c r="AH37" s="146"/>
    </row>
    <row r="38" spans="1:34" ht="27.75" customHeight="1" thickBot="1">
      <c r="A38" s="2"/>
      <c r="B38" s="1"/>
      <c r="C38" s="32" t="s">
        <v>53</v>
      </c>
      <c r="D38" s="52" t="s">
        <v>51</v>
      </c>
      <c r="E38" s="828" t="s">
        <v>52</v>
      </c>
      <c r="F38" s="829"/>
      <c r="G38" s="830"/>
      <c r="H38" s="32" t="s">
        <v>62</v>
      </c>
      <c r="I38" s="17"/>
      <c r="J38" s="3"/>
      <c r="K38" s="17"/>
      <c r="L38" s="9"/>
      <c r="M38" s="10"/>
      <c r="N38" s="11"/>
      <c r="O38" s="11"/>
      <c r="P38" s="11"/>
      <c r="Q38" s="329" t="s">
        <v>17</v>
      </c>
      <c r="R38" s="330">
        <v>0.4</v>
      </c>
      <c r="Z38" s="146"/>
      <c r="AA38" s="226" t="s">
        <v>159</v>
      </c>
      <c r="AB38" s="146" t="s">
        <v>157</v>
      </c>
      <c r="AC38" s="146"/>
      <c r="AD38" s="146"/>
      <c r="AE38" s="146"/>
      <c r="AF38" s="146"/>
      <c r="AG38" s="146"/>
      <c r="AH38" s="146"/>
    </row>
    <row r="39" spans="1:34" ht="14.25" customHeight="1" thickTop="1">
      <c r="A39" s="806" t="s">
        <v>48</v>
      </c>
      <c r="B39" s="807"/>
      <c r="C39" s="71"/>
      <c r="D39" s="71"/>
      <c r="E39" s="802"/>
      <c r="F39" s="831"/>
      <c r="G39" s="803"/>
      <c r="H39" s="51">
        <f>IF(D39="","",IF(C39="","",M39))</f>
      </c>
      <c r="I39" s="17"/>
      <c r="J39" s="3"/>
      <c r="K39" s="17"/>
      <c r="L39" s="9">
        <f>IF(E39=Q38,R38,IF(E39=Q37,R37,R36))</f>
        <v>0.011</v>
      </c>
      <c r="M39" s="36" t="e">
        <f>(0.007*(L39*C39)^0.8)/(Summary!E26^0.5*D39^0.4)</f>
        <v>#DIV/0!</v>
      </c>
      <c r="N39" s="11"/>
      <c r="O39" s="11"/>
      <c r="P39" s="11"/>
      <c r="Z39" s="146"/>
      <c r="AA39" s="226"/>
      <c r="AB39" s="226" t="s">
        <v>160</v>
      </c>
      <c r="AC39" s="146" t="s">
        <v>161</v>
      </c>
      <c r="AD39" s="146"/>
      <c r="AE39" s="146"/>
      <c r="AF39" s="146"/>
      <c r="AG39" s="146"/>
      <c r="AH39" s="146"/>
    </row>
    <row r="40" spans="1:34" ht="14.25" customHeight="1" thickBot="1">
      <c r="A40" s="806" t="s">
        <v>48</v>
      </c>
      <c r="B40" s="807"/>
      <c r="C40" s="79"/>
      <c r="D40" s="79"/>
      <c r="E40" s="832"/>
      <c r="F40" s="833"/>
      <c r="G40" s="834"/>
      <c r="H40" s="54">
        <f>IF(D40="","",IF(C40="","",M40))</f>
      </c>
      <c r="I40" s="17"/>
      <c r="J40" s="3"/>
      <c r="K40" s="17"/>
      <c r="L40" s="9">
        <f>IF(E40=Q38,R38,IF(E40=Q37,R37,R36))</f>
        <v>0.011</v>
      </c>
      <c r="M40" s="36" t="e">
        <f>(0.007*(L40*C40)^0.8)/(Summary!E26^0.5*D40^0.4)</f>
        <v>#DIV/0!</v>
      </c>
      <c r="N40" s="11"/>
      <c r="O40" s="11"/>
      <c r="P40" s="11"/>
      <c r="Q40" s="324" t="s">
        <v>56</v>
      </c>
      <c r="Z40" s="146"/>
      <c r="AA40" s="146"/>
      <c r="AB40" s="146"/>
      <c r="AC40" s="295" t="s">
        <v>136</v>
      </c>
      <c r="AD40" s="146"/>
      <c r="AE40" s="146"/>
      <c r="AF40" s="146"/>
      <c r="AG40" s="146"/>
      <c r="AH40" s="146"/>
    </row>
    <row r="41" spans="1:34" ht="14.25" customHeight="1" thickTop="1">
      <c r="A41" s="806" t="s">
        <v>49</v>
      </c>
      <c r="B41" s="807"/>
      <c r="C41" s="71"/>
      <c r="D41" s="71"/>
      <c r="E41" s="802"/>
      <c r="F41" s="831"/>
      <c r="G41" s="803"/>
      <c r="H41" s="51">
        <f>IF(L41="","",M41)</f>
      </c>
      <c r="I41" s="17"/>
      <c r="J41" s="3"/>
      <c r="K41" s="17"/>
      <c r="L41" s="6">
        <f>IF(E41=Q41,16.1345*D41^0.5,IF(E41=Q40,20.3282*D41^0.5,""))</f>
      </c>
      <c r="M41" s="37" t="e">
        <f>C41/(3600*L41)</f>
        <v>#VALUE!</v>
      </c>
      <c r="N41" s="12"/>
      <c r="O41" s="12"/>
      <c r="P41" s="12"/>
      <c r="Q41" s="30" t="s">
        <v>57</v>
      </c>
      <c r="R41" s="15"/>
      <c r="Z41" s="146"/>
      <c r="AA41" s="146"/>
      <c r="AB41" s="146"/>
      <c r="AC41" s="294" t="s">
        <v>162</v>
      </c>
      <c r="AD41" s="146"/>
      <c r="AE41" s="146"/>
      <c r="AF41" s="146"/>
      <c r="AG41" s="146"/>
      <c r="AH41" s="146"/>
    </row>
    <row r="42" spans="1:34" ht="14.25" customHeight="1">
      <c r="A42" s="806" t="s">
        <v>49</v>
      </c>
      <c r="B42" s="807"/>
      <c r="C42" s="74"/>
      <c r="D42" s="74"/>
      <c r="E42" s="823"/>
      <c r="F42" s="824"/>
      <c r="G42" s="825"/>
      <c r="H42" s="49">
        <f>IF(L42="","",M42)</f>
      </c>
      <c r="I42" s="17"/>
      <c r="J42" s="3"/>
      <c r="K42" s="17"/>
      <c r="L42" s="6">
        <f>IF(E42=Q41,16.1345*D42^0.5,IF(E42=Q40,20.3282*D42^0.5,""))</f>
      </c>
      <c r="M42" s="37" t="e">
        <f>C42/(3600*L42)</f>
        <v>#VALUE!</v>
      </c>
      <c r="N42" s="12"/>
      <c r="O42" s="12"/>
      <c r="P42" s="12"/>
      <c r="R42" s="15"/>
      <c r="Z42" s="146"/>
      <c r="AA42" s="146"/>
      <c r="AB42" s="146"/>
      <c r="AC42" s="294" t="s">
        <v>163</v>
      </c>
      <c r="AD42" s="146"/>
      <c r="AE42" s="146"/>
      <c r="AF42" s="146"/>
      <c r="AG42" s="146"/>
      <c r="AH42" s="146"/>
    </row>
    <row r="43" spans="1:34" ht="14.25" customHeight="1">
      <c r="A43" s="47"/>
      <c r="B43" s="50"/>
      <c r="C43" s="39"/>
      <c r="D43" s="39"/>
      <c r="E43" s="39"/>
      <c r="F43" s="39"/>
      <c r="G43" s="39"/>
      <c r="H43" s="38"/>
      <c r="I43" s="17"/>
      <c r="J43" s="3"/>
      <c r="K43" s="17"/>
      <c r="M43" s="37"/>
      <c r="N43" s="12"/>
      <c r="O43" s="12"/>
      <c r="P43" s="12"/>
      <c r="R43" s="15"/>
      <c r="Z43" s="146"/>
      <c r="AA43" s="146"/>
      <c r="AB43" s="146"/>
      <c r="AC43" s="294" t="s">
        <v>164</v>
      </c>
      <c r="AD43" s="146"/>
      <c r="AE43" s="146"/>
      <c r="AF43" s="146"/>
      <c r="AG43" s="146"/>
      <c r="AH43" s="146"/>
    </row>
    <row r="44" spans="1:34" ht="48.75" customHeight="1" thickBot="1">
      <c r="A44" s="2"/>
      <c r="B44" s="32" t="s">
        <v>53</v>
      </c>
      <c r="C44" s="32" t="s">
        <v>51</v>
      </c>
      <c r="D44" s="32" t="s">
        <v>58</v>
      </c>
      <c r="E44" s="53" t="s">
        <v>63</v>
      </c>
      <c r="F44" s="794" t="s">
        <v>59</v>
      </c>
      <c r="G44" s="794"/>
      <c r="H44" s="819"/>
      <c r="I44" s="32" t="s">
        <v>62</v>
      </c>
      <c r="J44" s="3"/>
      <c r="K44" s="17"/>
      <c r="M44" s="16"/>
      <c r="N44" s="12"/>
      <c r="O44" s="12"/>
      <c r="P44" s="12"/>
      <c r="Q44" s="14"/>
      <c r="Z44" s="146"/>
      <c r="AA44" s="146"/>
      <c r="AB44" s="146"/>
      <c r="AC44" s="146"/>
      <c r="AD44" s="146"/>
      <c r="AE44" s="146"/>
      <c r="AF44" s="146"/>
      <c r="AG44" s="146"/>
      <c r="AH44" s="146"/>
    </row>
    <row r="45" spans="1:34" ht="14.25" customHeight="1" thickTop="1">
      <c r="A45" s="34" t="s">
        <v>50</v>
      </c>
      <c r="B45" s="75"/>
      <c r="C45" s="75"/>
      <c r="D45" s="76"/>
      <c r="E45" s="77"/>
      <c r="F45" s="820"/>
      <c r="G45" s="820"/>
      <c r="H45" s="821"/>
      <c r="I45" s="48">
        <f>IF(M45="","",B45/(3600*M45))</f>
      </c>
      <c r="J45" s="3"/>
      <c r="K45" s="17"/>
      <c r="L45" s="6" t="e">
        <f>(E45/F45)</f>
        <v>#DIV/0!</v>
      </c>
      <c r="M45" s="16">
        <f>IF(OR(B45=0,C45=0,D45=0),"",(1.49*(L45^(2/3))*(C45^(1/2)))/D45)</f>
      </c>
      <c r="N45" s="12"/>
      <c r="O45" s="12"/>
      <c r="P45" s="12"/>
      <c r="Z45" s="146"/>
      <c r="AA45" s="146"/>
      <c r="AB45" s="146"/>
      <c r="AC45" s="146"/>
      <c r="AD45" s="146"/>
      <c r="AE45" s="146"/>
      <c r="AF45" s="146"/>
      <c r="AG45" s="146"/>
      <c r="AH45" s="146"/>
    </row>
    <row r="46" spans="1:13" ht="14.25" customHeight="1">
      <c r="A46" s="34" t="s">
        <v>50</v>
      </c>
      <c r="B46" s="74"/>
      <c r="C46" s="74"/>
      <c r="D46" s="74"/>
      <c r="E46" s="78"/>
      <c r="F46" s="822"/>
      <c r="G46" s="822"/>
      <c r="H46" s="822"/>
      <c r="I46" s="48">
        <f>IF(M46="","",B46/(3600*M46))</f>
      </c>
      <c r="J46" s="3"/>
      <c r="K46" s="17"/>
      <c r="L46" s="6" t="e">
        <f>(E46/F46)</f>
        <v>#DIV/0!</v>
      </c>
      <c r="M46" s="16">
        <f>IF(OR(B46=0,C46=0,D46=0),"",(1.49*(L46^(2/3))*(C46^(1/2)))/D46)</f>
      </c>
    </row>
    <row r="47" spans="1:13" ht="14.25" customHeight="1" thickBot="1">
      <c r="A47" s="34"/>
      <c r="B47" s="39"/>
      <c r="C47" s="39"/>
      <c r="D47" s="39"/>
      <c r="E47" s="58"/>
      <c r="F47" s="58"/>
      <c r="G47" s="58"/>
      <c r="H47" s="58"/>
      <c r="I47" s="35"/>
      <c r="J47" s="3"/>
      <c r="K47" s="17"/>
      <c r="M47" s="16"/>
    </row>
    <row r="48" spans="1:16" ht="19.5" thickBot="1">
      <c r="A48" s="2"/>
      <c r="B48" s="59" t="s">
        <v>60</v>
      </c>
      <c r="C48" s="60"/>
      <c r="D48" s="202">
        <f>IF((SUM(H39:H42)+SUM(I45:I46))&lt;0.0833,5,IF((SUM(H39:H42)+SUM(I45:I46))&lt;1&gt;0.0833,(SUM(H39:H42)+SUM(I45:I46))*60,(SUM(H39:H42)+SUM(I45:I46))))</f>
        <v>5</v>
      </c>
      <c r="E48" s="203" t="str">
        <f>IF((SUM(H39:H42)+SUM(I45:I46))&lt;1,"min","hrs")</f>
        <v>min</v>
      </c>
      <c r="F48" s="286" t="s">
        <v>135</v>
      </c>
      <c r="G48" s="286"/>
      <c r="H48" s="40"/>
      <c r="I48" s="40"/>
      <c r="J48" s="61"/>
      <c r="K48" s="17"/>
      <c r="M48" s="16">
        <f>IF(D39&gt;0.3,1,IF(D40&gt;0.3,1,IF(D41&gt;0.3,1,IF(D42&gt;0.3,1,IF(C45&gt;0.3,1,IF(C46&gt;0.3,1,""))))))</f>
      </c>
      <c r="N48" s="13"/>
      <c r="O48" s="13"/>
      <c r="P48" s="13"/>
    </row>
    <row r="49" spans="1:16" ht="16.5" thickBot="1">
      <c r="A49" s="4"/>
      <c r="B49" s="41"/>
      <c r="C49" s="42"/>
      <c r="D49" s="43"/>
      <c r="E49" s="44"/>
      <c r="F49" s="45"/>
      <c r="G49" s="45"/>
      <c r="H49" s="45"/>
      <c r="I49" s="45"/>
      <c r="J49" s="46"/>
      <c r="K49" s="17"/>
      <c r="M49" s="16"/>
      <c r="N49" s="13"/>
      <c r="O49" s="13"/>
      <c r="P49" s="13"/>
    </row>
    <row r="50" spans="1:16" ht="12.75">
      <c r="A50" s="63">
        <f>IF(L50=0,"","Warnings!!!")</f>
      </c>
      <c r="B50" s="17"/>
      <c r="C50" s="17"/>
      <c r="D50" s="17"/>
      <c r="E50" s="17"/>
      <c r="F50" s="17"/>
      <c r="G50" s="17"/>
      <c r="H50" s="17"/>
      <c r="I50" s="24"/>
      <c r="J50" s="17"/>
      <c r="K50" s="17"/>
      <c r="L50" s="6">
        <f>SUM(L51:L53)</f>
        <v>0</v>
      </c>
      <c r="N50" s="13"/>
      <c r="O50" s="13"/>
      <c r="P50" s="13"/>
    </row>
    <row r="51" spans="1:16" ht="12.75">
      <c r="A51" s="62">
        <f>IF(C39&gt;100,"Sheet flow lengths should not exceed 100 ft!!","")</f>
      </c>
      <c r="B51" s="17"/>
      <c r="C51" s="17"/>
      <c r="D51" s="17"/>
      <c r="E51" s="17"/>
      <c r="F51" s="17"/>
      <c r="G51" s="17"/>
      <c r="H51" s="6"/>
      <c r="I51" s="6"/>
      <c r="J51" s="6"/>
      <c r="L51" s="6">
        <f>IF(A51="",0,1)</f>
        <v>0</v>
      </c>
      <c r="N51" s="13"/>
      <c r="O51" s="13"/>
      <c r="P51" s="13"/>
    </row>
    <row r="52" spans="1:16" ht="12.75">
      <c r="A52" s="64">
        <f>IF(M48=1,"Check slope values - make sure values are in ft/ft and not percent slope!!","")</f>
      </c>
      <c r="B52" s="17"/>
      <c r="C52" s="17"/>
      <c r="D52" s="17"/>
      <c r="E52" s="17"/>
      <c r="F52" s="17"/>
      <c r="G52" s="17"/>
      <c r="H52" s="6"/>
      <c r="I52" s="6"/>
      <c r="J52" s="6"/>
      <c r="L52" s="6">
        <f>IF(A52="",0,1)</f>
        <v>0</v>
      </c>
      <c r="N52" s="13"/>
      <c r="O52" s="13"/>
      <c r="P52" s="13"/>
    </row>
    <row r="53" spans="2:16" ht="12.75">
      <c r="B53" s="17"/>
      <c r="C53" s="17"/>
      <c r="D53" s="17"/>
      <c r="E53" s="17"/>
      <c r="F53" s="17"/>
      <c r="G53" s="17"/>
      <c r="H53" s="6"/>
      <c r="I53" s="6"/>
      <c r="J53" s="6"/>
      <c r="N53" s="13"/>
      <c r="O53" s="13"/>
      <c r="P53" s="13"/>
    </row>
    <row r="54" spans="1:16" ht="12.75">
      <c r="A54" s="6"/>
      <c r="B54" s="6"/>
      <c r="C54" s="6"/>
      <c r="D54" s="6"/>
      <c r="E54" s="6"/>
      <c r="F54" s="6"/>
      <c r="G54" s="6"/>
      <c r="H54" s="6"/>
      <c r="I54" s="6"/>
      <c r="J54" s="6"/>
      <c r="N54" s="13"/>
      <c r="O54" s="13"/>
      <c r="P54" s="13"/>
    </row>
    <row r="55" spans="1:12" ht="12.75">
      <c r="A55" s="6"/>
      <c r="B55" s="6"/>
      <c r="C55" s="6"/>
      <c r="D55" s="6"/>
      <c r="E55" s="6"/>
      <c r="F55" s="6"/>
      <c r="G55" s="6"/>
      <c r="H55" s="6"/>
      <c r="I55" s="6"/>
      <c r="J55" s="7"/>
      <c r="K55" s="7"/>
      <c r="L55" s="7"/>
    </row>
    <row r="56" spans="1:11" ht="12.75">
      <c r="A56" s="804"/>
      <c r="B56" s="805"/>
      <c r="C56" s="69"/>
      <c r="D56" s="70"/>
      <c r="E56" s="17"/>
      <c r="F56" s="6"/>
      <c r="G56" s="6"/>
      <c r="H56" s="6"/>
      <c r="I56" s="6"/>
      <c r="J56" s="7"/>
      <c r="K56" s="7"/>
    </row>
    <row r="57" spans="1:11" ht="12.75">
      <c r="A57" s="17"/>
      <c r="B57" s="17"/>
      <c r="C57" s="17"/>
      <c r="D57" s="17"/>
      <c r="E57" s="17"/>
      <c r="F57" s="6"/>
      <c r="G57" s="6"/>
      <c r="H57" s="6"/>
      <c r="I57" s="6"/>
      <c r="J57" s="7"/>
      <c r="K57" s="7"/>
    </row>
    <row r="58" spans="1:12" ht="12.75">
      <c r="A58" s="17"/>
      <c r="B58" s="17"/>
      <c r="C58" s="17"/>
      <c r="D58" s="17"/>
      <c r="E58" s="17"/>
      <c r="F58" s="6"/>
      <c r="G58" s="6"/>
      <c r="H58" s="6"/>
      <c r="I58" s="6"/>
      <c r="J58" s="7"/>
      <c r="K58" s="7"/>
      <c r="L58" s="15"/>
    </row>
    <row r="59" spans="1:12" ht="12.75">
      <c r="A59" s="6"/>
      <c r="B59" s="6"/>
      <c r="C59" s="6"/>
      <c r="D59" s="6"/>
      <c r="E59" s="6"/>
      <c r="F59" s="6"/>
      <c r="G59" s="6"/>
      <c r="H59" s="6"/>
      <c r="I59" s="7"/>
      <c r="J59" s="7"/>
      <c r="K59" s="7"/>
      <c r="L59" s="7"/>
    </row>
    <row r="60" spans="1:12" ht="12.75">
      <c r="A60" s="6"/>
      <c r="B60" s="6"/>
      <c r="C60" s="6"/>
      <c r="D60" s="6"/>
      <c r="E60" s="6"/>
      <c r="F60" s="6"/>
      <c r="G60" s="6"/>
      <c r="H60" s="6"/>
      <c r="I60" s="68"/>
      <c r="J60" s="7"/>
      <c r="K60" s="7"/>
      <c r="L60" s="7"/>
    </row>
    <row r="61" spans="1:10" ht="12.75">
      <c r="A61" s="6"/>
      <c r="B61" s="6"/>
      <c r="C61" s="6"/>
      <c r="D61" s="6"/>
      <c r="E61" s="6"/>
      <c r="F61" s="6"/>
      <c r="G61" s="6"/>
      <c r="H61" s="6"/>
      <c r="I61" s="6"/>
      <c r="J61" s="6"/>
    </row>
    <row r="62" spans="1:10" ht="12.75">
      <c r="A62" s="6"/>
      <c r="B62" s="6"/>
      <c r="C62" s="6"/>
      <c r="D62" s="6"/>
      <c r="E62" s="6"/>
      <c r="F62" s="6"/>
      <c r="G62" s="6"/>
      <c r="H62" s="6"/>
      <c r="I62" s="6"/>
      <c r="J62" s="6"/>
    </row>
    <row r="63" spans="1:10" ht="12.75">
      <c r="A63" s="6"/>
      <c r="B63" s="6"/>
      <c r="C63" s="6"/>
      <c r="D63" s="6"/>
      <c r="E63" s="6"/>
      <c r="F63" s="6"/>
      <c r="G63" s="6"/>
      <c r="H63" s="6"/>
      <c r="I63" s="6"/>
      <c r="J63" s="6"/>
    </row>
    <row r="64" spans="1:10" ht="12.75">
      <c r="A64" s="6"/>
      <c r="B64" s="6"/>
      <c r="C64" s="6"/>
      <c r="D64" s="6"/>
      <c r="E64" s="6"/>
      <c r="F64" s="6"/>
      <c r="G64" s="6"/>
      <c r="H64" s="6"/>
      <c r="I64" s="6"/>
      <c r="J64" s="6"/>
    </row>
    <row r="65" spans="1:10" ht="12.75">
      <c r="A65" s="6"/>
      <c r="B65" s="6"/>
      <c r="C65" s="6"/>
      <c r="D65" s="6"/>
      <c r="E65" s="6"/>
      <c r="F65" s="6"/>
      <c r="G65" s="6"/>
      <c r="H65" s="6"/>
      <c r="I65" s="6"/>
      <c r="J65" s="6"/>
    </row>
    <row r="66" spans="1:10" ht="12.75">
      <c r="A66" s="6"/>
      <c r="B66" s="6"/>
      <c r="C66" s="6"/>
      <c r="D66" s="6"/>
      <c r="E66" s="6"/>
      <c r="F66" s="6"/>
      <c r="G66" s="6"/>
      <c r="H66" s="6"/>
      <c r="I66" s="6"/>
      <c r="J66" s="6"/>
    </row>
    <row r="67" spans="1:10" ht="12.75">
      <c r="A67" s="6"/>
      <c r="B67" s="6"/>
      <c r="C67" s="6"/>
      <c r="D67" s="6"/>
      <c r="E67" s="6"/>
      <c r="F67" s="6"/>
      <c r="G67" s="6"/>
      <c r="H67" s="6"/>
      <c r="I67" s="6"/>
      <c r="J67" s="6"/>
    </row>
    <row r="68" spans="1:10" ht="12.75">
      <c r="A68" s="6"/>
      <c r="B68" s="6"/>
      <c r="C68" s="6"/>
      <c r="D68" s="6"/>
      <c r="E68" s="6"/>
      <c r="F68" s="6"/>
      <c r="G68" s="6"/>
      <c r="H68" s="6"/>
      <c r="I68" s="6"/>
      <c r="J68" s="6"/>
    </row>
    <row r="69" spans="1:10" ht="12.75">
      <c r="A69" s="6"/>
      <c r="B69" s="6"/>
      <c r="C69" s="6"/>
      <c r="D69" s="6"/>
      <c r="E69" s="6"/>
      <c r="F69" s="6"/>
      <c r="G69" s="6"/>
      <c r="H69" s="6"/>
      <c r="I69" s="6"/>
      <c r="J69" s="6"/>
    </row>
    <row r="70" spans="1:10" ht="12.75">
      <c r="A70" s="6"/>
      <c r="B70" s="6"/>
      <c r="C70" s="6"/>
      <c r="D70" s="6"/>
      <c r="E70" s="6"/>
      <c r="F70" s="6"/>
      <c r="G70" s="6"/>
      <c r="H70" s="6"/>
      <c r="I70" s="6"/>
      <c r="J70" s="6"/>
    </row>
    <row r="71" spans="1:10" ht="12.75">
      <c r="A71" s="6"/>
      <c r="B71" s="6"/>
      <c r="C71" s="6"/>
      <c r="D71" s="6"/>
      <c r="E71" s="6"/>
      <c r="F71" s="6"/>
      <c r="G71" s="6"/>
      <c r="H71" s="6"/>
      <c r="I71" s="6"/>
      <c r="J71" s="6"/>
    </row>
    <row r="72" spans="1:10" ht="12.75">
      <c r="A72" s="6"/>
      <c r="B72" s="6"/>
      <c r="C72" s="6"/>
      <c r="D72" s="6"/>
      <c r="E72" s="6"/>
      <c r="F72" s="6"/>
      <c r="G72" s="6"/>
      <c r="H72" s="6"/>
      <c r="I72" s="6"/>
      <c r="J72" s="6"/>
    </row>
    <row r="73" spans="1:10" ht="12.75">
      <c r="A73" s="6"/>
      <c r="B73" s="6"/>
      <c r="C73" s="6"/>
      <c r="D73" s="6"/>
      <c r="E73" s="6"/>
      <c r="F73" s="6"/>
      <c r="G73" s="6"/>
      <c r="H73" s="6"/>
      <c r="I73" s="6"/>
      <c r="J73" s="6"/>
    </row>
    <row r="74" spans="1:10" ht="12.75">
      <c r="A74" s="6"/>
      <c r="B74" s="6"/>
      <c r="C74" s="6"/>
      <c r="D74" s="6"/>
      <c r="E74" s="6"/>
      <c r="F74" s="6"/>
      <c r="G74" s="6"/>
      <c r="H74" s="6"/>
      <c r="I74" s="6"/>
      <c r="J74" s="6"/>
    </row>
    <row r="75" spans="1:10" ht="12.75">
      <c r="A75" s="6"/>
      <c r="B75" s="6"/>
      <c r="C75" s="6"/>
      <c r="D75" s="6"/>
      <c r="E75" s="6"/>
      <c r="F75" s="6"/>
      <c r="G75" s="6"/>
      <c r="H75" s="6"/>
      <c r="I75" s="6"/>
      <c r="J75" s="6"/>
    </row>
    <row r="76" spans="1:10" ht="12.75">
      <c r="A76" s="6"/>
      <c r="B76" s="6"/>
      <c r="C76" s="6"/>
      <c r="D76" s="6"/>
      <c r="E76" s="6"/>
      <c r="F76" s="6"/>
      <c r="G76" s="6"/>
      <c r="H76" s="6"/>
      <c r="I76" s="6"/>
      <c r="J76" s="6"/>
    </row>
    <row r="77" spans="1:10" ht="12.75">
      <c r="A77" s="6"/>
      <c r="B77" s="6"/>
      <c r="C77" s="6"/>
      <c r="D77" s="6"/>
      <c r="E77" s="6"/>
      <c r="F77" s="6"/>
      <c r="G77" s="6"/>
      <c r="H77" s="6"/>
      <c r="I77" s="6"/>
      <c r="J77" s="6"/>
    </row>
    <row r="78" spans="1:10" ht="12.75">
      <c r="A78" s="6"/>
      <c r="B78" s="6"/>
      <c r="C78" s="6"/>
      <c r="D78" s="6"/>
      <c r="E78" s="6"/>
      <c r="F78" s="6"/>
      <c r="G78" s="6"/>
      <c r="H78" s="6"/>
      <c r="I78" s="6"/>
      <c r="J78" s="6"/>
    </row>
    <row r="79" spans="1:10" ht="12.75">
      <c r="A79" s="6"/>
      <c r="B79" s="6"/>
      <c r="C79" s="6"/>
      <c r="D79" s="6"/>
      <c r="E79" s="6"/>
      <c r="F79" s="6"/>
      <c r="G79" s="6"/>
      <c r="H79" s="6"/>
      <c r="I79" s="6"/>
      <c r="J79" s="6"/>
    </row>
    <row r="80" spans="1:10" ht="12.75">
      <c r="A80" s="6"/>
      <c r="B80" s="6"/>
      <c r="C80" s="6"/>
      <c r="D80" s="6"/>
      <c r="E80" s="6"/>
      <c r="F80" s="6"/>
      <c r="G80" s="6"/>
      <c r="H80" s="6"/>
      <c r="I80" s="6"/>
      <c r="J80" s="6"/>
    </row>
    <row r="81" spans="1:10" ht="12.75">
      <c r="A81" s="6"/>
      <c r="B81" s="6"/>
      <c r="C81" s="6"/>
      <c r="D81" s="6"/>
      <c r="E81" s="6"/>
      <c r="F81" s="6"/>
      <c r="G81" s="6"/>
      <c r="H81" s="6"/>
      <c r="I81" s="6"/>
      <c r="J81" s="6"/>
    </row>
    <row r="82" spans="1:10" ht="12.75">
      <c r="A82" s="6"/>
      <c r="B82" s="6"/>
      <c r="C82" s="6"/>
      <c r="D82" s="6"/>
      <c r="E82" s="6"/>
      <c r="F82" s="6"/>
      <c r="G82" s="6"/>
      <c r="H82" s="6"/>
      <c r="I82" s="6"/>
      <c r="J82" s="6"/>
    </row>
    <row r="83" spans="1:10" ht="12.75">
      <c r="A83" s="6"/>
      <c r="B83" s="6"/>
      <c r="C83" s="6"/>
      <c r="D83" s="6"/>
      <c r="E83" s="6"/>
      <c r="F83" s="6"/>
      <c r="G83" s="6"/>
      <c r="H83" s="6"/>
      <c r="I83" s="6"/>
      <c r="J83" s="6"/>
    </row>
    <row r="84" spans="1:10" ht="12.75">
      <c r="A84" s="6"/>
      <c r="B84" s="6"/>
      <c r="C84" s="6"/>
      <c r="D84" s="6"/>
      <c r="E84" s="6"/>
      <c r="F84" s="6"/>
      <c r="G84" s="6"/>
      <c r="H84" s="6"/>
      <c r="I84" s="6"/>
      <c r="J84" s="6"/>
    </row>
    <row r="85" spans="1:10" ht="12.75">
      <c r="A85" s="6"/>
      <c r="B85" s="6"/>
      <c r="C85" s="6"/>
      <c r="D85" s="6"/>
      <c r="E85" s="6"/>
      <c r="F85" s="6"/>
      <c r="G85" s="6"/>
      <c r="H85" s="6"/>
      <c r="I85" s="6"/>
      <c r="J85" s="6"/>
    </row>
    <row r="86" spans="1:10" ht="12.75">
      <c r="A86" s="6"/>
      <c r="B86" s="6"/>
      <c r="C86" s="6"/>
      <c r="D86" s="6"/>
      <c r="E86" s="6"/>
      <c r="F86" s="6"/>
      <c r="G86" s="6"/>
      <c r="H86" s="6"/>
      <c r="I86" s="6"/>
      <c r="J86" s="6"/>
    </row>
    <row r="87" spans="1:10" ht="12.75">
      <c r="A87" s="6"/>
      <c r="B87" s="6"/>
      <c r="C87" s="6"/>
      <c r="D87" s="6"/>
      <c r="E87" s="6"/>
      <c r="F87" s="6"/>
      <c r="G87" s="6"/>
      <c r="H87" s="6"/>
      <c r="I87" s="6"/>
      <c r="J87" s="6"/>
    </row>
    <row r="88" spans="1:10" ht="12.75">
      <c r="A88" s="6"/>
      <c r="B88" s="6"/>
      <c r="C88" s="6"/>
      <c r="D88" s="6"/>
      <c r="E88" s="6"/>
      <c r="F88" s="6"/>
      <c r="G88" s="6"/>
      <c r="H88" s="6"/>
      <c r="I88" s="6"/>
      <c r="J88" s="6"/>
    </row>
    <row r="89" spans="1:10" ht="12.75">
      <c r="A89" s="6"/>
      <c r="B89" s="6"/>
      <c r="C89" s="6"/>
      <c r="D89" s="6"/>
      <c r="E89" s="6"/>
      <c r="F89" s="6"/>
      <c r="G89" s="6"/>
      <c r="H89" s="6"/>
      <c r="I89" s="6"/>
      <c r="J89" s="6"/>
    </row>
    <row r="90" spans="1:10" ht="12.75">
      <c r="A90" s="6"/>
      <c r="B90" s="6"/>
      <c r="C90" s="6"/>
      <c r="D90" s="6"/>
      <c r="E90" s="6"/>
      <c r="F90" s="6"/>
      <c r="G90" s="6"/>
      <c r="H90" s="6"/>
      <c r="I90" s="6"/>
      <c r="J90" s="6"/>
    </row>
    <row r="91" spans="1:10" ht="12.75">
      <c r="A91" s="6"/>
      <c r="B91" s="6"/>
      <c r="C91" s="6"/>
      <c r="D91" s="6"/>
      <c r="E91" s="6"/>
      <c r="F91" s="6"/>
      <c r="G91" s="6"/>
      <c r="H91" s="6"/>
      <c r="I91" s="6"/>
      <c r="J91" s="6"/>
    </row>
    <row r="92" spans="1:10" ht="12.75">
      <c r="A92" s="6"/>
      <c r="B92" s="6"/>
      <c r="C92" s="6"/>
      <c r="D92" s="6"/>
      <c r="E92" s="6"/>
      <c r="F92" s="6"/>
      <c r="G92" s="6"/>
      <c r="H92" s="6"/>
      <c r="I92" s="6"/>
      <c r="J92" s="6"/>
    </row>
    <row r="93" spans="1:10" ht="12.75">
      <c r="A93" s="6"/>
      <c r="B93" s="6"/>
      <c r="C93" s="6"/>
      <c r="D93" s="6"/>
      <c r="E93" s="6"/>
      <c r="F93" s="6"/>
      <c r="G93" s="6"/>
      <c r="H93" s="6"/>
      <c r="I93" s="6"/>
      <c r="J93" s="6"/>
    </row>
    <row r="94" spans="1:10" ht="12.75">
      <c r="A94" s="6"/>
      <c r="B94" s="6"/>
      <c r="C94" s="6"/>
      <c r="D94" s="6"/>
      <c r="E94" s="6"/>
      <c r="F94" s="6"/>
      <c r="G94" s="6"/>
      <c r="H94" s="6"/>
      <c r="I94" s="6"/>
      <c r="J94" s="6"/>
    </row>
    <row r="95" spans="1:10" ht="12.75">
      <c r="A95" s="6"/>
      <c r="B95" s="6"/>
      <c r="C95" s="6"/>
      <c r="D95" s="6"/>
      <c r="E95" s="6"/>
      <c r="F95" s="6"/>
      <c r="G95" s="6"/>
      <c r="H95" s="6"/>
      <c r="I95" s="6"/>
      <c r="J95" s="6"/>
    </row>
    <row r="96" spans="1:10" ht="12.75">
      <c r="A96" s="6"/>
      <c r="B96" s="6"/>
      <c r="C96" s="6"/>
      <c r="D96" s="6"/>
      <c r="E96" s="6"/>
      <c r="F96" s="6"/>
      <c r="G96" s="6"/>
      <c r="H96" s="6"/>
      <c r="I96" s="6"/>
      <c r="J96" s="6"/>
    </row>
    <row r="97" spans="1:10" ht="12.75">
      <c r="A97" s="6"/>
      <c r="B97" s="6"/>
      <c r="C97" s="6"/>
      <c r="D97" s="6"/>
      <c r="E97" s="6"/>
      <c r="F97" s="6"/>
      <c r="G97" s="6"/>
      <c r="H97" s="6"/>
      <c r="I97" s="6"/>
      <c r="J97" s="6"/>
    </row>
    <row r="98" spans="1:10" ht="12.75">
      <c r="A98" s="6"/>
      <c r="B98" s="6"/>
      <c r="C98" s="6"/>
      <c r="D98" s="6"/>
      <c r="E98" s="6"/>
      <c r="F98" s="6"/>
      <c r="G98" s="6"/>
      <c r="H98" s="6"/>
      <c r="I98" s="6"/>
      <c r="J98" s="6"/>
    </row>
    <row r="99" spans="1:10" ht="12.75">
      <c r="A99" s="6"/>
      <c r="B99" s="6"/>
      <c r="C99" s="6"/>
      <c r="D99" s="6"/>
      <c r="E99" s="6"/>
      <c r="F99" s="6"/>
      <c r="G99" s="6"/>
      <c r="H99" s="6"/>
      <c r="I99" s="6"/>
      <c r="J99" s="6"/>
    </row>
    <row r="100" spans="1:10" ht="12.75">
      <c r="A100" s="6"/>
      <c r="B100" s="6"/>
      <c r="C100" s="6"/>
      <c r="D100" s="6"/>
      <c r="E100" s="6"/>
      <c r="F100" s="6"/>
      <c r="G100" s="6"/>
      <c r="H100" s="6"/>
      <c r="I100" s="6"/>
      <c r="J100" s="6"/>
    </row>
    <row r="101" spans="1:10" ht="12.75">
      <c r="A101" s="6"/>
      <c r="B101" s="6"/>
      <c r="C101" s="6"/>
      <c r="D101" s="6"/>
      <c r="E101" s="6"/>
      <c r="F101" s="6"/>
      <c r="G101" s="6"/>
      <c r="H101" s="6"/>
      <c r="I101" s="6"/>
      <c r="J101" s="6"/>
    </row>
    <row r="102" spans="1:10" ht="12.75">
      <c r="A102" s="6"/>
      <c r="B102" s="6"/>
      <c r="C102" s="6"/>
      <c r="D102" s="6"/>
      <c r="E102" s="6"/>
      <c r="F102" s="6"/>
      <c r="G102" s="6"/>
      <c r="H102" s="6"/>
      <c r="I102" s="6"/>
      <c r="J102" s="6"/>
    </row>
    <row r="103" spans="1:10" ht="12.75">
      <c r="A103" s="6"/>
      <c r="B103" s="6"/>
      <c r="C103" s="6"/>
      <c r="D103" s="6"/>
      <c r="E103" s="6"/>
      <c r="F103" s="6"/>
      <c r="G103" s="6"/>
      <c r="H103" s="6"/>
      <c r="I103" s="6"/>
      <c r="J103" s="6"/>
    </row>
    <row r="104" spans="1:10" ht="12.75">
      <c r="A104" s="6"/>
      <c r="B104" s="6"/>
      <c r="C104" s="6"/>
      <c r="D104" s="6"/>
      <c r="E104" s="6"/>
      <c r="F104" s="6"/>
      <c r="G104" s="6"/>
      <c r="H104" s="6"/>
      <c r="I104" s="6"/>
      <c r="J104" s="6"/>
    </row>
    <row r="105" spans="1:10" ht="12.75">
      <c r="A105" s="6"/>
      <c r="B105" s="6"/>
      <c r="C105" s="6"/>
      <c r="D105" s="6"/>
      <c r="E105" s="6"/>
      <c r="F105" s="6"/>
      <c r="G105" s="6"/>
      <c r="H105" s="6"/>
      <c r="I105" s="6"/>
      <c r="J105" s="6"/>
    </row>
    <row r="106" spans="1:10" ht="12.75">
      <c r="A106" s="6"/>
      <c r="B106" s="6"/>
      <c r="C106" s="6"/>
      <c r="D106" s="6"/>
      <c r="E106" s="6"/>
      <c r="F106" s="6"/>
      <c r="G106" s="6"/>
      <c r="H106" s="6"/>
      <c r="I106" s="6"/>
      <c r="J106" s="6"/>
    </row>
    <row r="107" spans="1:10" ht="12.75">
      <c r="A107" s="6"/>
      <c r="B107" s="6"/>
      <c r="C107" s="6"/>
      <c r="D107" s="6"/>
      <c r="E107" s="6"/>
      <c r="F107" s="6"/>
      <c r="G107" s="6"/>
      <c r="H107" s="6"/>
      <c r="I107" s="6"/>
      <c r="J107" s="6"/>
    </row>
    <row r="108" spans="1:10" ht="12.75">
      <c r="A108" s="6"/>
      <c r="B108" s="6"/>
      <c r="C108" s="6"/>
      <c r="D108" s="6"/>
      <c r="E108" s="6"/>
      <c r="F108" s="6"/>
      <c r="G108" s="6"/>
      <c r="H108" s="6"/>
      <c r="I108" s="6"/>
      <c r="J108" s="6"/>
    </row>
    <row r="109" spans="1:10" ht="12.75">
      <c r="A109" s="6"/>
      <c r="B109" s="6"/>
      <c r="C109" s="6"/>
      <c r="D109" s="6"/>
      <c r="E109" s="6"/>
      <c r="F109" s="6"/>
      <c r="G109" s="6"/>
      <c r="H109" s="6"/>
      <c r="I109" s="6"/>
      <c r="J109" s="6"/>
    </row>
    <row r="110" spans="1:10" ht="12.75">
      <c r="A110" s="6"/>
      <c r="B110" s="6"/>
      <c r="C110" s="6"/>
      <c r="D110" s="6"/>
      <c r="E110" s="6"/>
      <c r="F110" s="6"/>
      <c r="G110" s="6"/>
      <c r="H110" s="6"/>
      <c r="I110" s="6"/>
      <c r="J110" s="6"/>
    </row>
    <row r="111" spans="1:10" ht="12.75">
      <c r="A111" s="6"/>
      <c r="B111" s="6"/>
      <c r="C111" s="6"/>
      <c r="D111" s="6"/>
      <c r="E111" s="6"/>
      <c r="F111" s="6"/>
      <c r="G111" s="6"/>
      <c r="H111" s="6"/>
      <c r="I111" s="6"/>
      <c r="J111" s="6"/>
    </row>
    <row r="112" spans="1:10" ht="12.75">
      <c r="A112" s="6"/>
      <c r="B112" s="6"/>
      <c r="C112" s="6"/>
      <c r="D112" s="6"/>
      <c r="E112" s="6"/>
      <c r="F112" s="6"/>
      <c r="G112" s="6"/>
      <c r="H112" s="6"/>
      <c r="I112" s="6"/>
      <c r="J112" s="6"/>
    </row>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row r="390" s="6" customFormat="1" ht="12.75"/>
    <row r="391" s="6" customFormat="1" ht="12.75"/>
    <row r="392" s="6" customFormat="1" ht="12.75"/>
    <row r="393" s="6" customFormat="1" ht="12.75"/>
    <row r="394" s="6" customFormat="1" ht="12.75"/>
    <row r="395" s="6" customFormat="1" ht="12.75"/>
    <row r="396" s="6" customFormat="1" ht="12.75"/>
    <row r="397" s="6" customFormat="1" ht="12.75"/>
    <row r="398" s="6" customFormat="1" ht="12.75"/>
    <row r="399" s="6" customFormat="1" ht="12.75"/>
    <row r="400" s="6" customFormat="1" ht="12.75"/>
    <row r="401" s="6" customFormat="1" ht="12.75"/>
    <row r="402" s="6" customFormat="1" ht="12.75"/>
    <row r="403" s="6" customFormat="1" ht="12.75"/>
    <row r="404" s="6" customFormat="1" ht="12.75"/>
    <row r="405" s="6" customFormat="1" ht="12.75"/>
    <row r="406" s="6" customFormat="1" ht="12.75"/>
    <row r="407" s="6" customFormat="1" ht="12.75"/>
    <row r="408" s="6" customFormat="1" ht="12.75"/>
    <row r="409" s="6" customFormat="1" ht="12.75"/>
    <row r="410" s="6" customFormat="1" ht="12.75"/>
    <row r="411" s="6" customFormat="1" ht="12.75"/>
    <row r="412" s="6" customFormat="1" ht="12.75"/>
    <row r="413" s="6" customFormat="1" ht="12.75"/>
    <row r="414" s="6" customFormat="1" ht="12.75"/>
    <row r="415" s="6" customFormat="1" ht="12.75"/>
    <row r="416" s="6" customFormat="1" ht="12.75"/>
    <row r="417" s="6" customFormat="1" ht="12.75"/>
    <row r="418" s="6" customFormat="1" ht="12.75"/>
    <row r="419" s="6" customFormat="1" ht="12.75"/>
    <row r="420" s="6" customFormat="1" ht="12.75"/>
    <row r="421" s="6" customFormat="1" ht="12.75"/>
    <row r="422" s="6" customFormat="1" ht="12.75"/>
    <row r="423" s="6" customFormat="1" ht="12.75"/>
    <row r="424" s="6" customFormat="1" ht="12.75"/>
    <row r="425" s="6" customFormat="1" ht="12.75"/>
    <row r="426" s="6" customFormat="1" ht="12.75"/>
    <row r="427" s="6" customFormat="1" ht="12.75"/>
    <row r="428" s="6" customFormat="1" ht="12.75"/>
    <row r="429" s="6" customFormat="1" ht="12.75"/>
    <row r="430" s="6" customFormat="1" ht="12.75"/>
    <row r="431" s="6" customFormat="1" ht="12.75"/>
    <row r="432" s="6" customFormat="1" ht="12.75"/>
    <row r="433" s="6" customFormat="1" ht="12.75"/>
    <row r="434" s="6" customFormat="1" ht="12.75"/>
    <row r="435" s="6" customFormat="1" ht="12.75"/>
    <row r="436" s="6" customFormat="1" ht="12.75"/>
    <row r="437" s="6" customFormat="1" ht="12.75"/>
    <row r="438" s="6" customFormat="1" ht="12.75"/>
    <row r="439" s="6" customFormat="1" ht="12.75"/>
    <row r="440" s="6" customFormat="1" ht="12.75"/>
    <row r="441" s="6" customFormat="1" ht="12.75"/>
    <row r="442" s="6" customFormat="1" ht="12.75"/>
    <row r="443" s="6" customFormat="1" ht="12.75"/>
    <row r="444" s="6" customFormat="1" ht="12.75"/>
    <row r="445" s="6" customFormat="1" ht="12.75"/>
    <row r="446" s="6" customFormat="1" ht="12.75"/>
    <row r="447" s="6" customFormat="1" ht="12.75"/>
    <row r="448" s="6" customFormat="1" ht="12.75"/>
    <row r="449" s="6" customFormat="1" ht="12.75"/>
    <row r="450" s="6" customFormat="1" ht="12.75"/>
    <row r="451" s="6" customFormat="1" ht="12.75"/>
    <row r="452" s="6" customFormat="1" ht="12.75"/>
    <row r="453" s="6" customFormat="1" ht="12.75"/>
    <row r="454" s="6" customFormat="1" ht="12.75"/>
    <row r="455" s="6" customFormat="1" ht="12.75"/>
    <row r="456" s="6" customFormat="1" ht="12.75"/>
    <row r="457" s="6" customFormat="1" ht="12.75"/>
    <row r="458" s="6" customFormat="1" ht="12.75"/>
    <row r="459" s="6" customFormat="1" ht="12.75"/>
    <row r="460" s="6" customFormat="1" ht="12.75"/>
    <row r="461" s="6" customFormat="1" ht="12.75"/>
    <row r="462" s="6" customFormat="1" ht="12.75"/>
    <row r="463" s="6" customFormat="1" ht="12.75"/>
    <row r="464" s="6" customFormat="1" ht="12.75"/>
    <row r="465" s="6" customFormat="1" ht="12.75"/>
    <row r="466" s="6" customFormat="1" ht="12.75"/>
    <row r="467" s="6" customFormat="1" ht="12.75"/>
    <row r="468" s="6" customFormat="1" ht="12.75"/>
    <row r="469" s="6" customFormat="1" ht="12.75"/>
    <row r="470" s="6" customFormat="1" ht="12.75"/>
    <row r="471" s="6" customFormat="1" ht="12.75"/>
    <row r="472" s="6" customFormat="1" ht="12.75"/>
    <row r="473" s="6" customFormat="1" ht="12.75"/>
    <row r="474" s="6" customFormat="1" ht="12.75"/>
    <row r="475" s="6" customFormat="1" ht="12.75"/>
    <row r="476" s="6" customFormat="1" ht="12.75"/>
    <row r="477" s="6" customFormat="1" ht="12.75"/>
    <row r="478" s="6" customFormat="1" ht="12.75"/>
    <row r="479" s="6" customFormat="1" ht="12.75"/>
    <row r="480" s="6" customFormat="1" ht="12.75"/>
    <row r="481" s="6" customFormat="1" ht="12.75"/>
    <row r="482" s="6" customFormat="1" ht="12.75"/>
    <row r="483" s="6" customFormat="1" ht="12.75"/>
    <row r="484" s="6" customFormat="1" ht="12.75"/>
    <row r="485" s="6" customFormat="1" ht="12.75"/>
    <row r="486" s="6" customFormat="1" ht="12.75"/>
    <row r="487" s="6" customFormat="1" ht="12.75"/>
    <row r="488" s="6" customFormat="1" ht="12.75"/>
    <row r="489" s="6" customFormat="1" ht="12.75"/>
    <row r="490" s="6" customFormat="1" ht="12.75"/>
    <row r="491" s="6" customFormat="1" ht="12.75"/>
    <row r="492" s="6" customFormat="1" ht="12.75"/>
    <row r="493" s="6" customFormat="1" ht="12.75"/>
    <row r="494" s="6" customFormat="1" ht="12.75"/>
    <row r="495" s="6" customFormat="1" ht="12.75"/>
    <row r="496" s="6" customFormat="1" ht="12.75"/>
    <row r="497" s="6" customFormat="1" ht="12.75"/>
    <row r="498" s="6" customFormat="1" ht="12.75"/>
    <row r="499" s="6" customFormat="1" ht="12.75"/>
    <row r="500" s="6" customFormat="1" ht="12.75"/>
    <row r="501" s="6" customFormat="1" ht="12.75"/>
    <row r="502" s="6" customFormat="1" ht="12.75"/>
    <row r="503" s="6" customFormat="1" ht="12.75"/>
    <row r="504" s="6" customFormat="1" ht="12.75"/>
    <row r="505" s="6" customFormat="1" ht="12.75"/>
    <row r="506" s="6" customFormat="1" ht="12.75"/>
    <row r="507" s="6" customFormat="1" ht="12.75"/>
    <row r="508" s="6" customFormat="1" ht="12.75"/>
    <row r="509" s="6" customFormat="1" ht="12.75"/>
    <row r="510" s="6" customFormat="1" ht="12.75"/>
    <row r="511" s="6" customFormat="1" ht="12.75"/>
    <row r="512" s="6" customFormat="1" ht="12.75"/>
    <row r="513" s="6" customFormat="1" ht="12.75"/>
    <row r="514" s="6" customFormat="1" ht="12.75"/>
    <row r="515" s="6" customFormat="1" ht="12.75"/>
    <row r="516" s="6" customFormat="1" ht="12.75"/>
    <row r="517" s="6" customFormat="1" ht="12.75"/>
    <row r="518" s="6" customFormat="1" ht="12.75"/>
    <row r="519" s="6" customFormat="1" ht="12.75"/>
    <row r="520" s="6" customFormat="1" ht="12.75"/>
    <row r="521" s="6" customFormat="1" ht="12.75"/>
    <row r="522" s="6" customFormat="1" ht="12.75"/>
    <row r="523" s="6" customFormat="1" ht="12.75"/>
    <row r="524" s="6" customFormat="1" ht="12.75"/>
    <row r="525" s="6" customFormat="1" ht="12.75"/>
    <row r="526" s="6" customFormat="1" ht="12.75"/>
    <row r="527" s="6" customFormat="1" ht="12.75"/>
    <row r="528" s="6" customFormat="1" ht="12.75"/>
    <row r="529" s="6" customFormat="1" ht="12.75"/>
    <row r="530" s="6" customFormat="1" ht="12.75"/>
    <row r="531" s="6" customFormat="1" ht="12.75"/>
    <row r="532" s="6" customFormat="1" ht="12.75"/>
    <row r="533" s="6" customFormat="1" ht="12.75"/>
    <row r="534" s="6" customFormat="1" ht="12.75"/>
    <row r="535" s="6" customFormat="1" ht="12.75"/>
    <row r="536" s="6" customFormat="1" ht="12.75"/>
    <row r="537" s="6" customFormat="1" ht="12.75"/>
    <row r="538" s="6" customFormat="1" ht="12.75"/>
    <row r="539" s="6" customFormat="1" ht="12.75"/>
    <row r="540" s="6" customFormat="1" ht="12.75"/>
    <row r="541" s="6" customFormat="1" ht="12.75"/>
    <row r="542" s="6" customFormat="1" ht="12.75"/>
    <row r="543" s="6" customFormat="1" ht="12.75"/>
    <row r="544" s="6" customFormat="1" ht="12.75"/>
    <row r="545" s="6" customFormat="1" ht="12.75"/>
    <row r="546" s="6" customFormat="1" ht="12.75"/>
    <row r="547" s="6" customFormat="1" ht="12.75"/>
    <row r="548" s="6" customFormat="1" ht="12.75"/>
    <row r="549" s="6" customFormat="1" ht="12.75"/>
    <row r="550" s="6" customFormat="1" ht="12.75"/>
    <row r="551" s="6" customFormat="1" ht="12.75"/>
    <row r="552" s="6" customFormat="1" ht="12.75"/>
    <row r="553" s="6" customFormat="1" ht="12.75"/>
    <row r="554" s="6" customFormat="1" ht="12.75"/>
    <row r="555" s="6" customFormat="1" ht="12.75"/>
    <row r="556" s="6" customFormat="1" ht="12.75"/>
    <row r="557" s="6" customFormat="1" ht="12.75"/>
    <row r="558" s="6" customFormat="1" ht="12.75"/>
    <row r="559" s="6" customFormat="1" ht="12.75"/>
    <row r="560" s="6" customFormat="1" ht="12.75"/>
    <row r="561" s="6" customFormat="1" ht="12.75"/>
    <row r="562" s="6" customFormat="1" ht="12.75"/>
    <row r="563" s="6" customFormat="1" ht="12.75"/>
    <row r="564" s="6" customFormat="1" ht="12.75"/>
    <row r="565" s="6" customFormat="1" ht="12.75"/>
    <row r="566" s="6" customFormat="1" ht="12.75"/>
    <row r="567" s="6" customFormat="1" ht="12.75"/>
    <row r="568" s="6" customFormat="1" ht="12.75"/>
    <row r="569" s="6" customFormat="1" ht="12.75"/>
    <row r="570" s="6" customFormat="1" ht="12.75"/>
    <row r="571" s="6" customFormat="1" ht="12.75"/>
    <row r="572" s="6" customFormat="1" ht="12.75"/>
    <row r="573" s="6" customFormat="1" ht="12.75"/>
    <row r="574" s="6" customFormat="1" ht="12.75"/>
    <row r="575" s="6" customFormat="1" ht="12.75"/>
    <row r="576" s="6" customFormat="1" ht="12.75"/>
    <row r="577" s="6" customFormat="1" ht="12.75"/>
    <row r="578" s="6" customFormat="1" ht="12.75"/>
    <row r="579" s="6" customFormat="1" ht="12.75"/>
    <row r="580" s="6" customFormat="1" ht="12.75"/>
    <row r="581" s="6" customFormat="1" ht="12.75"/>
    <row r="582" s="6" customFormat="1" ht="12.75"/>
    <row r="583" s="6" customFormat="1" ht="12.75"/>
    <row r="584" s="6" customFormat="1" ht="12.75"/>
    <row r="585" s="6" customFormat="1" ht="12.75"/>
    <row r="586" s="6" customFormat="1" ht="12.75"/>
    <row r="587" s="6" customFormat="1" ht="12.75"/>
    <row r="588" s="6" customFormat="1" ht="12.75"/>
    <row r="589" s="6" customFormat="1" ht="12.75"/>
    <row r="590" s="6" customFormat="1" ht="12.75"/>
    <row r="591" s="6" customFormat="1" ht="12.75"/>
    <row r="592" s="6" customFormat="1" ht="12.75"/>
    <row r="593" s="6" customFormat="1" ht="12.75"/>
    <row r="594" s="6" customFormat="1" ht="12.75"/>
    <row r="595" s="6" customFormat="1" ht="12.75"/>
    <row r="596" s="6" customFormat="1" ht="12.75"/>
    <row r="597" s="6" customFormat="1" ht="12.75"/>
    <row r="598" s="6" customFormat="1" ht="12.75"/>
    <row r="599" s="6" customFormat="1" ht="12.75"/>
    <row r="600" s="6" customFormat="1" ht="12.75"/>
    <row r="601" s="6" customFormat="1" ht="12.75"/>
    <row r="602" s="6" customFormat="1" ht="12.75"/>
    <row r="603" s="6" customFormat="1" ht="12.75"/>
    <row r="604" s="6" customFormat="1" ht="12.75"/>
    <row r="605" s="6" customFormat="1" ht="12.75"/>
    <row r="606" s="6" customFormat="1" ht="12.75"/>
    <row r="607" s="6" customFormat="1" ht="12.75"/>
    <row r="608" s="6" customFormat="1" ht="12.75"/>
    <row r="609" s="6" customFormat="1" ht="12.75"/>
    <row r="610" s="6" customFormat="1" ht="12.75"/>
    <row r="611" s="6" customFormat="1" ht="12.75"/>
    <row r="612" s="6" customFormat="1" ht="12.75"/>
    <row r="613" s="6" customFormat="1" ht="12.75"/>
    <row r="614" s="6" customFormat="1" ht="12.75"/>
    <row r="615" s="6" customFormat="1" ht="12.75"/>
    <row r="616" s="6" customFormat="1" ht="12.75"/>
    <row r="617" s="6" customFormat="1" ht="12.75"/>
    <row r="618" s="6" customFormat="1" ht="12.75"/>
    <row r="619" s="6" customFormat="1" ht="12.75"/>
    <row r="620" s="6" customFormat="1" ht="12.75"/>
    <row r="621" s="6" customFormat="1" ht="12.75"/>
    <row r="622" s="6" customFormat="1" ht="12.75"/>
    <row r="623" s="6" customFormat="1" ht="12.75"/>
    <row r="624" s="6" customFormat="1" ht="12.75"/>
    <row r="625" s="6" customFormat="1" ht="12.75"/>
    <row r="626" s="6" customFormat="1" ht="12.75"/>
    <row r="627" s="6" customFormat="1" ht="12.75"/>
    <row r="628" s="6" customFormat="1" ht="12.75"/>
    <row r="629" s="6" customFormat="1" ht="12.75"/>
    <row r="630" s="6" customFormat="1" ht="12.75"/>
    <row r="631" s="6" customFormat="1" ht="12.75"/>
    <row r="632" s="6" customFormat="1" ht="12.75"/>
    <row r="633" s="6" customFormat="1" ht="12.75"/>
    <row r="634" s="6" customFormat="1" ht="12.75"/>
    <row r="635" s="6" customFormat="1" ht="12.75"/>
    <row r="636" s="6" customFormat="1" ht="12.75"/>
    <row r="637" s="6" customFormat="1" ht="12.75"/>
    <row r="638" s="6" customFormat="1" ht="12.75"/>
    <row r="639" s="6" customFormat="1" ht="12.75"/>
    <row r="640" s="6" customFormat="1" ht="12.75"/>
    <row r="641" s="6" customFormat="1" ht="12.75"/>
    <row r="642" s="6" customFormat="1" ht="12.75"/>
    <row r="643" s="6" customFormat="1" ht="12.75"/>
    <row r="644" s="6" customFormat="1" ht="12.75"/>
    <row r="645" s="6" customFormat="1" ht="12.75"/>
    <row r="646" s="6" customFormat="1" ht="12.75"/>
    <row r="647" s="6" customFormat="1" ht="12.75"/>
    <row r="648" s="6" customFormat="1" ht="12.75"/>
    <row r="649" s="6" customFormat="1" ht="12.75"/>
    <row r="650" s="6" customFormat="1" ht="12.75"/>
    <row r="651" s="6" customFormat="1" ht="12.75"/>
    <row r="652" s="6" customFormat="1" ht="12.75"/>
    <row r="653" s="6" customFormat="1" ht="12.75"/>
    <row r="654" s="6" customFormat="1" ht="12.75"/>
    <row r="655" s="6" customFormat="1" ht="12.75"/>
    <row r="656" s="6" customFormat="1" ht="12.75"/>
    <row r="657" s="6" customFormat="1" ht="12.75"/>
    <row r="658" s="6" customFormat="1" ht="12.75"/>
    <row r="659" s="6" customFormat="1" ht="12.75"/>
    <row r="660" s="6" customFormat="1" ht="12.75"/>
    <row r="661" s="6" customFormat="1" ht="12.75"/>
    <row r="662" s="6" customFormat="1" ht="12.75"/>
    <row r="663" s="6" customFormat="1" ht="12.75"/>
    <row r="664" s="6" customFormat="1" ht="12.75"/>
    <row r="665" s="6" customFormat="1" ht="12.75"/>
    <row r="666" s="6" customFormat="1" ht="12.75"/>
    <row r="667" s="6" customFormat="1" ht="12.75"/>
    <row r="668" s="6" customFormat="1" ht="12.75"/>
    <row r="669" s="6" customFormat="1" ht="12.75"/>
    <row r="670" s="6" customFormat="1" ht="12.75"/>
    <row r="671" s="6" customFormat="1" ht="12.75"/>
    <row r="672" s="6" customFormat="1" ht="12.75"/>
    <row r="673" s="6" customFormat="1" ht="12.75"/>
    <row r="674" s="6" customFormat="1" ht="12.75"/>
    <row r="675" s="6" customFormat="1" ht="12.75"/>
    <row r="676" s="6" customFormat="1" ht="12.75"/>
    <row r="677" s="6" customFormat="1" ht="12.75"/>
    <row r="678" s="6" customFormat="1" ht="12.75"/>
    <row r="679" s="6" customFormat="1" ht="12.75"/>
    <row r="680" s="6" customFormat="1" ht="12.75"/>
    <row r="681" s="6" customFormat="1" ht="12.75"/>
    <row r="682" s="6" customFormat="1" ht="12.75"/>
    <row r="683" s="6" customFormat="1" ht="12.75"/>
    <row r="684" s="6" customFormat="1" ht="12.75"/>
    <row r="685" s="6" customFormat="1" ht="12.75"/>
    <row r="686" s="6" customFormat="1" ht="12.75"/>
    <row r="687" s="6" customFormat="1" ht="12.75"/>
    <row r="688" s="6" customFormat="1" ht="12.75"/>
    <row r="689" s="6" customFormat="1" ht="12.75"/>
    <row r="690" s="6" customFormat="1" ht="12.75"/>
    <row r="691" s="6" customFormat="1" ht="12.75"/>
    <row r="692" s="6" customFormat="1" ht="12.75"/>
    <row r="693" s="6" customFormat="1" ht="12.75"/>
    <row r="694" s="6" customFormat="1" ht="12.75"/>
    <row r="695" s="6" customFormat="1" ht="12.75"/>
    <row r="696" s="6" customFormat="1" ht="12.75"/>
    <row r="697" s="6" customFormat="1" ht="12.75"/>
    <row r="698" s="6" customFormat="1" ht="12.75"/>
    <row r="699" s="6" customFormat="1" ht="12.75"/>
    <row r="700" s="6" customFormat="1" ht="12.75"/>
    <row r="701" s="6" customFormat="1" ht="12.75"/>
    <row r="702" s="6" customFormat="1" ht="12.75"/>
    <row r="703" s="6" customFormat="1" ht="12.75"/>
    <row r="704" s="6" customFormat="1" ht="12.75"/>
    <row r="705" s="6" customFormat="1" ht="12.75"/>
    <row r="706" s="6" customFormat="1" ht="12.75"/>
    <row r="707" s="6" customFormat="1" ht="12.75"/>
    <row r="708" s="6" customFormat="1" ht="12.75"/>
    <row r="709" s="6" customFormat="1" ht="12.75"/>
    <row r="710" s="6" customFormat="1" ht="12.75"/>
    <row r="711" s="6" customFormat="1" ht="12.75"/>
    <row r="712" s="6" customFormat="1" ht="12.75"/>
    <row r="713" s="6" customFormat="1" ht="12.75"/>
    <row r="714" s="6" customFormat="1" ht="12.75"/>
    <row r="715" s="6" customFormat="1" ht="12.75"/>
    <row r="716" s="6" customFormat="1" ht="12.75"/>
    <row r="717" s="6" customFormat="1" ht="12.75"/>
    <row r="718" s="6" customFormat="1" ht="12.75"/>
    <row r="719" s="6" customFormat="1" ht="12.75"/>
    <row r="720" s="6" customFormat="1" ht="12.75"/>
    <row r="721" s="6" customFormat="1" ht="12.75"/>
    <row r="722" s="6" customFormat="1" ht="12.75"/>
    <row r="723" s="6" customFormat="1" ht="12.75"/>
    <row r="724" s="6" customFormat="1" ht="12.75"/>
    <row r="725" s="6" customFormat="1" ht="12.75"/>
    <row r="726" s="6" customFormat="1" ht="12.75"/>
    <row r="727" s="6" customFormat="1" ht="12.75"/>
    <row r="728" s="6" customFormat="1" ht="12.75"/>
    <row r="729" s="6" customFormat="1" ht="12.75"/>
    <row r="730" s="6" customFormat="1" ht="12.75"/>
    <row r="731" s="6" customFormat="1" ht="12.75"/>
    <row r="732" s="6" customFormat="1" ht="12.75"/>
    <row r="733" s="6" customFormat="1" ht="12.75"/>
    <row r="734" s="6" customFormat="1" ht="12.75"/>
    <row r="735" s="6" customFormat="1" ht="12.75"/>
    <row r="736" s="6" customFormat="1" ht="12.75"/>
    <row r="737" s="6" customFormat="1" ht="12.75"/>
    <row r="738" s="6" customFormat="1" ht="12.75"/>
    <row r="739" s="6" customFormat="1" ht="12.75"/>
    <row r="740" s="6" customFormat="1" ht="12.75"/>
    <row r="741" s="6" customFormat="1" ht="12.75"/>
    <row r="742" s="6" customFormat="1" ht="12.75"/>
    <row r="743" s="6" customFormat="1" ht="12.75"/>
    <row r="744" s="6" customFormat="1" ht="12.75"/>
    <row r="745" s="6" customFormat="1" ht="12.75"/>
    <row r="746" s="6" customFormat="1" ht="12.75"/>
    <row r="747" s="6" customFormat="1" ht="12.75"/>
    <row r="748" s="6" customFormat="1" ht="12.75"/>
    <row r="749" s="6" customFormat="1" ht="12.75"/>
    <row r="750" s="6" customFormat="1" ht="12.75"/>
    <row r="751" s="6" customFormat="1" ht="12.75"/>
    <row r="752" s="6" customFormat="1" ht="12.75"/>
    <row r="753" s="6" customFormat="1" ht="12.75"/>
    <row r="754" s="6" customFormat="1" ht="12.75"/>
    <row r="755" s="6" customFormat="1" ht="12.75"/>
    <row r="756" s="6" customFormat="1" ht="12.75"/>
    <row r="757" s="6" customFormat="1" ht="12.75"/>
    <row r="758" s="6" customFormat="1" ht="12.75"/>
    <row r="759" s="6" customFormat="1" ht="12.75"/>
    <row r="760" s="6" customFormat="1" ht="12.75"/>
    <row r="761" s="6" customFormat="1" ht="12.75"/>
    <row r="762" s="6" customFormat="1" ht="12.75"/>
    <row r="763" s="6" customFormat="1" ht="12.75"/>
    <row r="764" s="6" customFormat="1" ht="12.75"/>
    <row r="765" s="6" customFormat="1" ht="12.75"/>
    <row r="766" s="6" customFormat="1" ht="12.75"/>
    <row r="767" s="6" customFormat="1" ht="12.75"/>
    <row r="768" s="6" customFormat="1" ht="12.75"/>
    <row r="769" s="6" customFormat="1" ht="12.75"/>
    <row r="770" s="6" customFormat="1" ht="12.75"/>
    <row r="771" s="6" customFormat="1" ht="12.75"/>
    <row r="772" s="6" customFormat="1" ht="12.75"/>
    <row r="773" s="6" customFormat="1" ht="12.75"/>
    <row r="774" s="6" customFormat="1" ht="12.75"/>
    <row r="775" s="6" customFormat="1" ht="12.75"/>
    <row r="776" s="6" customFormat="1" ht="12.75"/>
    <row r="777" s="6" customFormat="1" ht="12.75"/>
    <row r="778" s="6" customFormat="1" ht="12.75"/>
    <row r="779" s="6" customFormat="1" ht="12.75"/>
    <row r="780" s="6" customFormat="1" ht="12.75"/>
    <row r="781" s="6" customFormat="1" ht="12.75"/>
    <row r="782" s="6" customFormat="1" ht="12.75"/>
    <row r="783" s="6" customFormat="1" ht="12.75"/>
    <row r="784" s="6" customFormat="1" ht="12.75"/>
    <row r="785" s="6" customFormat="1" ht="12.75"/>
    <row r="786" s="6" customFormat="1" ht="12.75"/>
    <row r="787" s="6" customFormat="1" ht="12.75"/>
    <row r="788" s="6" customFormat="1" ht="12.75"/>
    <row r="789" s="6" customFormat="1" ht="12.75"/>
    <row r="790" s="6" customFormat="1" ht="12.75"/>
    <row r="791" s="6" customFormat="1" ht="12.75"/>
    <row r="792" s="6" customFormat="1" ht="12.75"/>
    <row r="793" s="6" customFormat="1" ht="12.75"/>
    <row r="794" s="6" customFormat="1" ht="12.75"/>
    <row r="795" s="6" customFormat="1" ht="12.75"/>
    <row r="796" s="6" customFormat="1" ht="12.75"/>
    <row r="797" s="6" customFormat="1" ht="12.75"/>
    <row r="798" s="6" customFormat="1" ht="12.75"/>
    <row r="799" s="6" customFormat="1" ht="12.75"/>
    <row r="800" s="6" customFormat="1" ht="12.75"/>
    <row r="801" spans="1:10" ht="12.75">
      <c r="A801" s="6"/>
      <c r="B801" s="6"/>
      <c r="C801" s="6"/>
      <c r="D801" s="6"/>
      <c r="E801" s="6"/>
      <c r="F801" s="6"/>
      <c r="G801" s="6"/>
      <c r="H801" s="6"/>
      <c r="I801" s="6"/>
      <c r="J801" s="6"/>
    </row>
    <row r="802" spans="1:10" ht="12.75">
      <c r="A802" s="6"/>
      <c r="B802" s="6"/>
      <c r="C802" s="6"/>
      <c r="D802" s="6"/>
      <c r="E802" s="6"/>
      <c r="F802" s="6"/>
      <c r="G802" s="6"/>
      <c r="H802" s="6"/>
      <c r="I802" s="6"/>
      <c r="J802" s="6"/>
    </row>
    <row r="803" spans="1:10" ht="12.75">
      <c r="A803" s="6"/>
      <c r="B803" s="6"/>
      <c r="C803" s="6"/>
      <c r="D803" s="6"/>
      <c r="E803" s="6"/>
      <c r="F803" s="6"/>
      <c r="G803" s="6"/>
      <c r="H803" s="6"/>
      <c r="I803" s="6"/>
      <c r="J803" s="6"/>
    </row>
    <row r="804" spans="1:10" ht="12.75">
      <c r="A804" s="6"/>
      <c r="B804" s="6"/>
      <c r="C804" s="6"/>
      <c r="D804" s="6"/>
      <c r="E804" s="6"/>
      <c r="F804" s="6"/>
      <c r="G804" s="6"/>
      <c r="H804" s="6"/>
      <c r="I804" s="6"/>
      <c r="J804" s="6"/>
    </row>
    <row r="805" spans="1:10" ht="12.75">
      <c r="A805" s="6"/>
      <c r="B805" s="6"/>
      <c r="C805" s="6"/>
      <c r="D805" s="6"/>
      <c r="E805" s="6"/>
      <c r="F805" s="6"/>
      <c r="G805" s="6"/>
      <c r="H805" s="6"/>
      <c r="I805" s="6"/>
      <c r="J805" s="6"/>
    </row>
    <row r="806" spans="1:10" ht="12.75">
      <c r="A806" s="6"/>
      <c r="B806" s="6"/>
      <c r="C806" s="6"/>
      <c r="D806" s="6"/>
      <c r="E806" s="6"/>
      <c r="F806" s="6"/>
      <c r="G806" s="6"/>
      <c r="H806" s="6"/>
      <c r="I806" s="6"/>
      <c r="J806" s="6"/>
    </row>
    <row r="807" spans="1:10" ht="12.75">
      <c r="A807" s="6"/>
      <c r="B807" s="6"/>
      <c r="C807" s="6"/>
      <c r="D807" s="6"/>
      <c r="E807" s="6"/>
      <c r="F807" s="6"/>
      <c r="G807" s="6"/>
      <c r="H807" s="6"/>
      <c r="I807" s="6"/>
      <c r="J807" s="6"/>
    </row>
    <row r="808" spans="1:10" ht="12.75">
      <c r="A808" s="6"/>
      <c r="B808" s="6"/>
      <c r="C808" s="6"/>
      <c r="D808" s="6"/>
      <c r="E808" s="6"/>
      <c r="F808" s="6"/>
      <c r="G808" s="6"/>
      <c r="H808" s="6"/>
      <c r="I808" s="6"/>
      <c r="J808" s="6"/>
    </row>
  </sheetData>
  <sheetProtection password="CA67" sheet="1" objects="1" scenarios="1" formatCells="0" formatRows="0"/>
  <mergeCells count="65">
    <mergeCell ref="C20:D20"/>
    <mergeCell ref="I23:J25"/>
    <mergeCell ref="I27:J31"/>
    <mergeCell ref="F44:H44"/>
    <mergeCell ref="F45:H45"/>
    <mergeCell ref="F46:H46"/>
    <mergeCell ref="E42:G42"/>
    <mergeCell ref="AA19:AG20"/>
    <mergeCell ref="A41:B41"/>
    <mergeCell ref="E38:G38"/>
    <mergeCell ref="E39:G39"/>
    <mergeCell ref="E40:G40"/>
    <mergeCell ref="E41:G41"/>
    <mergeCell ref="C17:D17"/>
    <mergeCell ref="E36:F36"/>
    <mergeCell ref="E37:F37"/>
    <mergeCell ref="B29:E29"/>
    <mergeCell ref="D30:E30"/>
    <mergeCell ref="B27:F27"/>
    <mergeCell ref="F20:G20"/>
    <mergeCell ref="F21:F22"/>
    <mergeCell ref="G21:G22"/>
    <mergeCell ref="F28:G28"/>
    <mergeCell ref="A56:B56"/>
    <mergeCell ref="C18:D18"/>
    <mergeCell ref="A39:B39"/>
    <mergeCell ref="A40:B40"/>
    <mergeCell ref="C24:D24"/>
    <mergeCell ref="C23:D23"/>
    <mergeCell ref="B28:E28"/>
    <mergeCell ref="B25:E25"/>
    <mergeCell ref="C19:D19"/>
    <mergeCell ref="A42:B42"/>
    <mergeCell ref="N7:N8"/>
    <mergeCell ref="AE16:AH17"/>
    <mergeCell ref="C12:D12"/>
    <mergeCell ref="C11:D11"/>
    <mergeCell ref="C13:D13"/>
    <mergeCell ref="C10:D10"/>
    <mergeCell ref="C14:D14"/>
    <mergeCell ref="C15:D15"/>
    <mergeCell ref="C16:D16"/>
    <mergeCell ref="F9:G9"/>
    <mergeCell ref="I9:J14"/>
    <mergeCell ref="C9:D9"/>
    <mergeCell ref="J1:J2"/>
    <mergeCell ref="A5:J5"/>
    <mergeCell ref="I1:I2"/>
    <mergeCell ref="C8:D8"/>
    <mergeCell ref="F8:G8"/>
    <mergeCell ref="F10:G10"/>
    <mergeCell ref="F11:G11"/>
    <mergeCell ref="F12:G12"/>
    <mergeCell ref="F13:G13"/>
    <mergeCell ref="B1:H2"/>
    <mergeCell ref="B3:H3"/>
    <mergeCell ref="B4:H4"/>
    <mergeCell ref="F14:G14"/>
    <mergeCell ref="F15:G15"/>
    <mergeCell ref="F29:G29"/>
    <mergeCell ref="F30:G30"/>
    <mergeCell ref="F16:G16"/>
    <mergeCell ref="F17:G17"/>
    <mergeCell ref="F18:G18"/>
    <mergeCell ref="F19:G19"/>
  </mergeCells>
  <dataValidations count="4">
    <dataValidation type="list" allowBlank="1" showInputMessage="1" showErrorMessage="1" sqref="E39:E40">
      <formula1>$Q$36:$Q$38</formula1>
    </dataValidation>
    <dataValidation type="list" allowBlank="1" showInputMessage="1" showErrorMessage="1" sqref="E41:E43 F43:G43">
      <formula1>$Q$40:$Q$41</formula1>
    </dataValidation>
    <dataValidation type="list" allowBlank="1" showInputMessage="1" showErrorMessage="1" sqref="B9:B20 B23:B24">
      <formula1>$Q$7:$Q$11</formula1>
    </dataValidation>
    <dataValidation type="list" allowBlank="1" showInputMessage="1" showErrorMessage="1" sqref="C9:D22">
      <formula1>$R$7:$R$10</formula1>
    </dataValidation>
  </dataValidations>
  <printOptions/>
  <pageMargins left="0.25" right="0.25" top="0.25" bottom="0.5" header="0.25" footer="0.25"/>
  <pageSetup fitToHeight="1" fitToWidth="1" horizontalDpi="600" verticalDpi="600" orientation="portrait" r:id="rId3"/>
  <headerFooter alignWithMargins="0">
    <oddFooter>&amp;L&amp;8LID-EZ Wilmington Area Model
Version 2.0&amp;R&amp;8&amp;D  &amp;T
Page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AE914"/>
  <sheetViews>
    <sheetView showGridLines="0" showRowColHeaders="0" zoomScalePageLayoutView="0" workbookViewId="0" topLeftCell="A22">
      <selection activeCell="E25" sqref="E25"/>
    </sheetView>
  </sheetViews>
  <sheetFormatPr defaultColWidth="9.140625" defaultRowHeight="12.75"/>
  <cols>
    <col min="1" max="1" width="18.57421875" style="81" customWidth="1"/>
    <col min="2" max="2" width="11.8515625" style="81" customWidth="1"/>
    <col min="3" max="3" width="15.00390625" style="81" customWidth="1"/>
    <col min="4" max="4" width="10.140625" style="81" customWidth="1"/>
    <col min="5" max="5" width="8.28125" style="81" customWidth="1"/>
    <col min="6" max="6" width="11.28125" style="81" customWidth="1"/>
    <col min="7" max="7" width="8.421875" style="81" customWidth="1"/>
    <col min="8" max="8" width="10.140625" style="81" customWidth="1"/>
    <col min="9" max="9" width="9.421875" style="81" bestFit="1" customWidth="1"/>
    <col min="10" max="10" width="9.421875" style="81" hidden="1" customWidth="1"/>
    <col min="11" max="12" width="9.421875" style="146" hidden="1" customWidth="1"/>
    <col min="13" max="13" width="9.140625" style="146" hidden="1" customWidth="1"/>
    <col min="14" max="14" width="11.28125" style="146" hidden="1" customWidth="1"/>
    <col min="15" max="15" width="17.421875" style="146" hidden="1" customWidth="1"/>
    <col min="16" max="16" width="10.140625" style="146" hidden="1" customWidth="1"/>
    <col min="17" max="17" width="9.140625" style="146" hidden="1" customWidth="1"/>
    <col min="18" max="18" width="10.421875" style="146" hidden="1" customWidth="1"/>
    <col min="19" max="21" width="9.140625" style="146" hidden="1" customWidth="1"/>
    <col min="22" max="22" width="11.57421875" style="146" hidden="1" customWidth="1"/>
    <col min="23" max="23" width="6.7109375" style="146" hidden="1" customWidth="1"/>
    <col min="24" max="24" width="8.00390625" style="80" customWidth="1"/>
    <col min="25" max="25" width="14.57421875" style="80" customWidth="1"/>
    <col min="26" max="26" width="11.28125" style="80" customWidth="1"/>
    <col min="27" max="30" width="9.140625" style="80" customWidth="1"/>
    <col min="31" max="31" width="11.28125" style="80" customWidth="1"/>
    <col min="32" max="125" width="9.140625" style="80" customWidth="1"/>
    <col min="126" max="16384" width="9.140625" style="81" customWidth="1"/>
  </cols>
  <sheetData>
    <row r="1" spans="1:31" ht="13.5" customHeight="1">
      <c r="A1" s="473"/>
      <c r="B1" s="860" t="s">
        <v>2</v>
      </c>
      <c r="C1" s="861"/>
      <c r="D1" s="861"/>
      <c r="E1" s="861"/>
      <c r="F1" s="861"/>
      <c r="G1" s="861"/>
      <c r="H1" s="626" t="s">
        <v>165</v>
      </c>
      <c r="I1" s="624">
        <f>Summary!I1:I2</f>
        <v>0</v>
      </c>
      <c r="J1" s="92"/>
      <c r="K1" s="137"/>
      <c r="L1" s="137"/>
      <c r="X1" s="146"/>
      <c r="Y1" s="146"/>
      <c r="Z1" s="146"/>
      <c r="AA1" s="146"/>
      <c r="AB1" s="146"/>
      <c r="AC1" s="146"/>
      <c r="AD1" s="146"/>
      <c r="AE1" s="146"/>
    </row>
    <row r="2" spans="1:31" ht="13.5" customHeight="1">
      <c r="A2" s="474"/>
      <c r="B2" s="862"/>
      <c r="C2" s="862"/>
      <c r="D2" s="862"/>
      <c r="E2" s="862"/>
      <c r="F2" s="862"/>
      <c r="G2" s="862"/>
      <c r="H2" s="627"/>
      <c r="I2" s="625"/>
      <c r="J2" s="92"/>
      <c r="K2" s="137"/>
      <c r="L2" s="137"/>
      <c r="X2" s="146"/>
      <c r="Y2" s="146"/>
      <c r="Z2" s="146"/>
      <c r="AA2" s="146"/>
      <c r="AB2" s="146"/>
      <c r="AC2" s="146"/>
      <c r="AD2" s="146"/>
      <c r="AE2" s="146"/>
    </row>
    <row r="3" spans="1:31" ht="25.5" customHeight="1">
      <c r="A3" s="475"/>
      <c r="B3" s="863">
        <f>Summary!B3:G3</f>
        <v>0</v>
      </c>
      <c r="C3" s="864"/>
      <c r="D3" s="864"/>
      <c r="E3" s="864"/>
      <c r="F3" s="864"/>
      <c r="G3" s="864"/>
      <c r="H3" s="96" t="s">
        <v>0</v>
      </c>
      <c r="I3" s="307">
        <f>Summary!I3</f>
        <v>0</v>
      </c>
      <c r="J3" s="367"/>
      <c r="K3" s="220"/>
      <c r="L3" s="220"/>
      <c r="O3" s="247" t="s">
        <v>43</v>
      </c>
      <c r="P3" s="256"/>
      <c r="Q3" s="257" t="s">
        <v>7</v>
      </c>
      <c r="R3" s="257" t="s">
        <v>8</v>
      </c>
      <c r="S3" s="257" t="s">
        <v>9</v>
      </c>
      <c r="T3" s="258" t="s">
        <v>10</v>
      </c>
      <c r="U3" s="132"/>
      <c r="X3" s="146"/>
      <c r="Y3" s="146"/>
      <c r="Z3" s="146"/>
      <c r="AA3" s="146"/>
      <c r="AB3" s="146"/>
      <c r="AC3" s="146"/>
      <c r="AD3" s="146"/>
      <c r="AE3" s="146"/>
    </row>
    <row r="4" spans="1:31" ht="24.75" customHeight="1" thickBot="1">
      <c r="A4" s="476"/>
      <c r="B4" s="865">
        <f>Summary!B4:G4</f>
        <v>0</v>
      </c>
      <c r="C4" s="866"/>
      <c r="D4" s="866"/>
      <c r="E4" s="866"/>
      <c r="F4" s="866"/>
      <c r="G4" s="866"/>
      <c r="H4" s="96" t="s">
        <v>1</v>
      </c>
      <c r="I4" s="360">
        <f>Summary!I4</f>
        <v>0</v>
      </c>
      <c r="J4" s="139"/>
      <c r="K4" s="139"/>
      <c r="L4" s="139"/>
      <c r="O4" s="225" t="s">
        <v>7</v>
      </c>
      <c r="P4" s="249" t="s">
        <v>110</v>
      </c>
      <c r="Q4" s="250">
        <v>39</v>
      </c>
      <c r="R4" s="244">
        <v>61</v>
      </c>
      <c r="S4" s="244">
        <v>74</v>
      </c>
      <c r="T4" s="251">
        <v>80</v>
      </c>
      <c r="U4" s="132"/>
      <c r="X4" s="146"/>
      <c r="Y4" s="146"/>
      <c r="Z4" s="146"/>
      <c r="AA4" s="146"/>
      <c r="AB4" s="146"/>
      <c r="AC4" s="146"/>
      <c r="AD4" s="146"/>
      <c r="AE4" s="146"/>
    </row>
    <row r="5" spans="1:31" ht="24.75" customHeight="1" thickBot="1" thickTop="1">
      <c r="A5" s="735" t="s">
        <v>103</v>
      </c>
      <c r="B5" s="629"/>
      <c r="C5" s="629"/>
      <c r="D5" s="629"/>
      <c r="E5" s="629"/>
      <c r="F5" s="629"/>
      <c r="G5" s="629"/>
      <c r="H5" s="629"/>
      <c r="I5" s="630"/>
      <c r="J5" s="535"/>
      <c r="K5" s="221"/>
      <c r="L5" s="221"/>
      <c r="O5" s="225" t="s">
        <v>8</v>
      </c>
      <c r="P5" s="252" t="s">
        <v>19</v>
      </c>
      <c r="Q5" s="223">
        <v>98</v>
      </c>
      <c r="R5" s="132"/>
      <c r="S5" s="132"/>
      <c r="T5" s="253"/>
      <c r="U5" s="132"/>
      <c r="W5" s="124"/>
      <c r="X5" s="146"/>
      <c r="Y5" s="146"/>
      <c r="Z5" s="146"/>
      <c r="AA5" s="146"/>
      <c r="AB5" s="146"/>
      <c r="AC5" s="146"/>
      <c r="AD5" s="146"/>
      <c r="AE5" s="146"/>
    </row>
    <row r="6" spans="1:31" ht="5.25" customHeight="1" thickTop="1">
      <c r="A6" s="89"/>
      <c r="B6" s="90"/>
      <c r="C6" s="90"/>
      <c r="D6" s="90"/>
      <c r="E6" s="90"/>
      <c r="F6" s="90"/>
      <c r="G6" s="90"/>
      <c r="H6" s="90"/>
      <c r="I6" s="91"/>
      <c r="J6" s="90"/>
      <c r="K6" s="124"/>
      <c r="L6" s="124"/>
      <c r="O6" s="225" t="s">
        <v>9</v>
      </c>
      <c r="P6" s="254" t="s">
        <v>17</v>
      </c>
      <c r="Q6" s="245">
        <v>30</v>
      </c>
      <c r="R6" s="245">
        <v>55</v>
      </c>
      <c r="S6" s="245">
        <v>70</v>
      </c>
      <c r="T6" s="255">
        <v>77</v>
      </c>
      <c r="U6" s="132"/>
      <c r="W6" s="223"/>
      <c r="X6" s="146"/>
      <c r="Y6" s="146"/>
      <c r="Z6" s="146"/>
      <c r="AA6" s="146"/>
      <c r="AB6" s="146"/>
      <c r="AC6" s="146"/>
      <c r="AD6" s="146"/>
      <c r="AE6" s="146"/>
    </row>
    <row r="7" spans="1:31" ht="14.25" customHeight="1">
      <c r="A7" s="118" t="s">
        <v>46</v>
      </c>
      <c r="B7" s="90"/>
      <c r="C7" s="119"/>
      <c r="D7" s="90"/>
      <c r="E7" s="90"/>
      <c r="F7" s="90"/>
      <c r="G7" s="90"/>
      <c r="H7" s="90"/>
      <c r="I7" s="91"/>
      <c r="J7" s="90"/>
      <c r="K7" s="124"/>
      <c r="L7" s="132"/>
      <c r="O7" s="248" t="s">
        <v>10</v>
      </c>
      <c r="P7" s="124"/>
      <c r="Q7" s="124"/>
      <c r="R7" s="124"/>
      <c r="S7" s="124"/>
      <c r="T7" s="124"/>
      <c r="U7" s="124"/>
      <c r="X7" s="146"/>
      <c r="Y7" s="146"/>
      <c r="Z7" s="146"/>
      <c r="AA7" s="146"/>
      <c r="AB7" s="146"/>
      <c r="AC7" s="146"/>
      <c r="AD7" s="146"/>
      <c r="AE7" s="146"/>
    </row>
    <row r="8" spans="1:31" ht="7.5" customHeight="1">
      <c r="A8" s="118"/>
      <c r="B8" s="90"/>
      <c r="C8" s="119"/>
      <c r="D8" s="90"/>
      <c r="E8" s="90"/>
      <c r="F8" s="90"/>
      <c r="G8" s="90"/>
      <c r="H8" s="90"/>
      <c r="I8" s="91"/>
      <c r="J8" s="90"/>
      <c r="K8" s="124"/>
      <c r="L8" s="132"/>
      <c r="O8" s="315"/>
      <c r="P8" s="124"/>
      <c r="Q8" s="124"/>
      <c r="R8" s="124"/>
      <c r="S8" s="124"/>
      <c r="T8" s="124"/>
      <c r="U8" s="124"/>
      <c r="X8" s="146"/>
      <c r="Y8" s="146"/>
      <c r="Z8" s="146"/>
      <c r="AA8" s="146"/>
      <c r="AB8" s="146"/>
      <c r="AC8" s="146"/>
      <c r="AD8" s="146"/>
      <c r="AE8" s="146"/>
    </row>
    <row r="9" spans="1:31" ht="17.25" customHeight="1" thickBot="1">
      <c r="A9" s="82"/>
      <c r="B9" s="856" t="s">
        <v>172</v>
      </c>
      <c r="C9" s="857"/>
      <c r="D9" s="857"/>
      <c r="E9" s="857"/>
      <c r="F9" s="857"/>
      <c r="G9" s="904"/>
      <c r="H9" s="90"/>
      <c r="I9" s="91"/>
      <c r="J9" s="90"/>
      <c r="K9" s="124"/>
      <c r="L9" s="132"/>
      <c r="O9" s="870" t="s">
        <v>44</v>
      </c>
      <c r="P9" s="859"/>
      <c r="Q9" s="124"/>
      <c r="R9" s="124"/>
      <c r="T9" s="124"/>
      <c r="U9" s="124"/>
      <c r="V9" s="222"/>
      <c r="W9" s="223"/>
      <c r="X9" s="146"/>
      <c r="Y9" s="146"/>
      <c r="Z9" s="146"/>
      <c r="AA9" s="146"/>
      <c r="AB9" s="146"/>
      <c r="AC9" s="146"/>
      <c r="AD9" s="146"/>
      <c r="AE9" s="146"/>
    </row>
    <row r="10" spans="1:31" ht="30.75" customHeight="1">
      <c r="A10" s="120"/>
      <c r="B10" s="867" t="s">
        <v>297</v>
      </c>
      <c r="C10" s="845"/>
      <c r="D10" s="845"/>
      <c r="E10" s="900"/>
      <c r="F10" s="900"/>
      <c r="G10" s="316" t="s">
        <v>12</v>
      </c>
      <c r="H10" s="868">
        <f>IF(AND(E10&gt;0,E11&gt;0),"Average Lot Size = "&amp;(E10*43560)/E11&amp;" sf","")</f>
      </c>
      <c r="I10" s="869"/>
      <c r="J10" s="90"/>
      <c r="K10" s="124"/>
      <c r="L10" s="124"/>
      <c r="O10" s="880" t="s">
        <v>178</v>
      </c>
      <c r="P10" s="886"/>
      <c r="Q10" s="243">
        <v>10</v>
      </c>
      <c r="R10" s="146" t="s">
        <v>34</v>
      </c>
      <c r="T10" s="124"/>
      <c r="U10" s="124"/>
      <c r="V10" s="222"/>
      <c r="W10" s="223"/>
      <c r="X10" s="300"/>
      <c r="Y10" s="370" t="s">
        <v>131</v>
      </c>
      <c r="Z10" s="146"/>
      <c r="AA10" s="146"/>
      <c r="AB10" s="146"/>
      <c r="AC10" s="146"/>
      <c r="AD10" s="146"/>
      <c r="AE10" s="153"/>
    </row>
    <row r="11" spans="1:31" ht="12.75" customHeight="1">
      <c r="A11" s="120"/>
      <c r="B11" s="844" t="s">
        <v>5</v>
      </c>
      <c r="C11" s="845"/>
      <c r="D11" s="845"/>
      <c r="E11" s="879"/>
      <c r="F11" s="879"/>
      <c r="G11" s="316"/>
      <c r="H11" s="887">
        <f>IF(OR(E10="",E10=0),"",IF(E14+E12&gt;(E10*43560/E11),"Error - Total of Impervious Area and Preserved Wooded Area is greater than average lot size.",IF(E15&gt;50,"Warning:  Disconnected Area should not exceed 50% without prior approval from Stormwater staff.","")))</f>
      </c>
      <c r="I11" s="888"/>
      <c r="J11" s="494"/>
      <c r="K11" s="124"/>
      <c r="L11" s="124"/>
      <c r="O11" s="876" t="s">
        <v>176</v>
      </c>
      <c r="P11" s="877"/>
      <c r="Q11" s="243">
        <v>20</v>
      </c>
      <c r="R11" s="146" t="s">
        <v>35</v>
      </c>
      <c r="T11" s="124"/>
      <c r="U11" s="124"/>
      <c r="V11" s="222"/>
      <c r="W11" s="223"/>
      <c r="X11" s="300"/>
      <c r="Y11" s="146"/>
      <c r="Z11" s="146"/>
      <c r="AA11" s="146"/>
      <c r="AB11" s="146"/>
      <c r="AC11" s="146"/>
      <c r="AD11" s="146"/>
      <c r="AE11" s="153"/>
    </row>
    <row r="12" spans="1:31" ht="15.75" customHeight="1">
      <c r="A12" s="120"/>
      <c r="B12" s="844" t="s">
        <v>456</v>
      </c>
      <c r="C12" s="845"/>
      <c r="D12" s="845"/>
      <c r="E12" s="879"/>
      <c r="F12" s="879"/>
      <c r="G12" s="316" t="s">
        <v>6</v>
      </c>
      <c r="H12" s="887"/>
      <c r="I12" s="888"/>
      <c r="J12" s="494"/>
      <c r="K12" s="124"/>
      <c r="L12" s="124" t="s">
        <v>67</v>
      </c>
      <c r="M12" s="146" t="e">
        <f>(1000/D43)-10</f>
        <v>#DIV/0!</v>
      </c>
      <c r="O12" s="874" t="s">
        <v>177</v>
      </c>
      <c r="P12" s="875"/>
      <c r="Q12" s="243">
        <v>30</v>
      </c>
      <c r="R12" s="146" t="s">
        <v>36</v>
      </c>
      <c r="T12" s="124"/>
      <c r="U12" s="124"/>
      <c r="V12" s="222"/>
      <c r="W12" s="223"/>
      <c r="X12" s="302"/>
      <c r="Y12" s="270" t="s">
        <v>121</v>
      </c>
      <c r="Z12" s="270"/>
      <c r="AA12" s="146"/>
      <c r="AB12" s="146"/>
      <c r="AC12" s="146"/>
      <c r="AD12" s="146"/>
      <c r="AE12" s="153"/>
    </row>
    <row r="13" spans="1:31" ht="15" customHeight="1" thickBot="1">
      <c r="A13" s="120"/>
      <c r="B13" s="844" t="s">
        <v>173</v>
      </c>
      <c r="C13" s="845"/>
      <c r="D13" s="845"/>
      <c r="E13" s="878">
        <f>IF(E10&gt;0,((E12*E11)/(E10*43560))*100,"")</f>
      </c>
      <c r="F13" s="878"/>
      <c r="G13" s="316" t="s">
        <v>11</v>
      </c>
      <c r="H13" s="887"/>
      <c r="I13" s="888"/>
      <c r="J13" s="494"/>
      <c r="K13" s="124"/>
      <c r="L13" s="124" t="s">
        <v>100</v>
      </c>
      <c r="M13" s="146" t="e">
        <f>(3-(0.2*M12))^2/(3+(0.8*M12))</f>
        <v>#DIV/0!</v>
      </c>
      <c r="O13" s="880" t="s">
        <v>174</v>
      </c>
      <c r="P13" s="881"/>
      <c r="Q13" s="243">
        <v>40</v>
      </c>
      <c r="R13" s="146" t="s">
        <v>37</v>
      </c>
      <c r="T13" s="124"/>
      <c r="U13" s="124"/>
      <c r="V13" s="222"/>
      <c r="W13" s="223"/>
      <c r="X13" s="146"/>
      <c r="Y13" s="271" t="s">
        <v>113</v>
      </c>
      <c r="Z13" s="272" t="s">
        <v>123</v>
      </c>
      <c r="AA13" s="273" t="s">
        <v>7</v>
      </c>
      <c r="AB13" s="273" t="s">
        <v>8</v>
      </c>
      <c r="AC13" s="273" t="s">
        <v>9</v>
      </c>
      <c r="AD13" s="273" t="s">
        <v>10</v>
      </c>
      <c r="AE13" s="153"/>
    </row>
    <row r="14" spans="1:31" ht="15.75" customHeight="1">
      <c r="A14" s="120"/>
      <c r="B14" s="844" t="s">
        <v>360</v>
      </c>
      <c r="C14" s="845"/>
      <c r="D14" s="845"/>
      <c r="E14" s="879"/>
      <c r="F14" s="879"/>
      <c r="G14" s="316" t="s">
        <v>6</v>
      </c>
      <c r="H14" s="887"/>
      <c r="I14" s="888"/>
      <c r="J14" s="494"/>
      <c r="K14" s="124"/>
      <c r="L14" s="124"/>
      <c r="O14" s="889" t="s">
        <v>175</v>
      </c>
      <c r="P14" s="890"/>
      <c r="Q14" s="243">
        <v>50</v>
      </c>
      <c r="R14" s="243"/>
      <c r="S14" s="124"/>
      <c r="T14" s="124"/>
      <c r="U14" s="124"/>
      <c r="V14" s="222"/>
      <c r="W14" s="223"/>
      <c r="X14" s="146"/>
      <c r="Y14" s="248" t="s">
        <v>17</v>
      </c>
      <c r="Z14" s="274">
        <f>IF(E10=0,0,((E14*E11)/43560)/E10)</f>
        <v>0</v>
      </c>
      <c r="AA14" s="179">
        <v>30</v>
      </c>
      <c r="AB14" s="179">
        <v>55</v>
      </c>
      <c r="AC14" s="179">
        <v>70</v>
      </c>
      <c r="AD14" s="179">
        <v>77</v>
      </c>
      <c r="AE14" s="153"/>
    </row>
    <row r="15" spans="1:31" ht="25.5" customHeight="1">
      <c r="A15" s="82"/>
      <c r="B15" s="840" t="s">
        <v>298</v>
      </c>
      <c r="C15" s="893"/>
      <c r="D15" s="893"/>
      <c r="E15" s="885"/>
      <c r="F15" s="885"/>
      <c r="G15" s="317" t="s">
        <v>171</v>
      </c>
      <c r="H15" s="887"/>
      <c r="I15" s="888"/>
      <c r="J15" s="494"/>
      <c r="K15" s="124"/>
      <c r="L15" s="124"/>
      <c r="O15" s="891" t="s">
        <v>406</v>
      </c>
      <c r="P15" s="892"/>
      <c r="Q15" s="243">
        <v>60</v>
      </c>
      <c r="R15" s="243"/>
      <c r="S15" s="124"/>
      <c r="T15" s="124"/>
      <c r="U15" s="124"/>
      <c r="V15" s="222"/>
      <c r="W15" s="223"/>
      <c r="X15" s="146"/>
      <c r="Y15" s="128" t="s">
        <v>122</v>
      </c>
      <c r="Z15" s="275">
        <f>IF(E10=0,0,(1-Z14-Z16))</f>
        <v>0</v>
      </c>
      <c r="AA15" s="276">
        <v>39</v>
      </c>
      <c r="AB15" s="276">
        <v>61</v>
      </c>
      <c r="AC15" s="276">
        <v>74</v>
      </c>
      <c r="AD15" s="276">
        <v>80</v>
      </c>
      <c r="AE15" s="153"/>
    </row>
    <row r="16" spans="1:31" ht="15" customHeight="1" thickBot="1">
      <c r="A16" s="82"/>
      <c r="B16" s="492"/>
      <c r="C16" s="491"/>
      <c r="D16" s="491"/>
      <c r="E16" s="498"/>
      <c r="F16" s="498"/>
      <c r="G16" s="493"/>
      <c r="H16" s="494"/>
      <c r="I16" s="490"/>
      <c r="J16" s="494"/>
      <c r="K16" s="124"/>
      <c r="L16" s="124"/>
      <c r="M16" s="146">
        <f>IF(AND(Summary!E11="SA",Summary!E18="Low Density"),0.5,1)</f>
        <v>1</v>
      </c>
      <c r="O16" s="495"/>
      <c r="P16" s="495"/>
      <c r="Q16" s="243"/>
      <c r="R16" s="243"/>
      <c r="S16" s="124"/>
      <c r="T16" s="124"/>
      <c r="U16" s="124"/>
      <c r="V16" s="222"/>
      <c r="W16" s="223"/>
      <c r="X16" s="146"/>
      <c r="Y16" s="277" t="s">
        <v>19</v>
      </c>
      <c r="Z16" s="278">
        <f>IF(E10=0,0,E13/100)</f>
        <v>0</v>
      </c>
      <c r="AA16" s="279">
        <v>98</v>
      </c>
      <c r="AB16" s="279">
        <v>98</v>
      </c>
      <c r="AC16" s="279">
        <v>98</v>
      </c>
      <c r="AD16" s="279">
        <v>98</v>
      </c>
      <c r="AE16" s="153"/>
    </row>
    <row r="17" spans="1:31" ht="15" customHeight="1" thickBot="1" thickTop="1">
      <c r="A17" s="82"/>
      <c r="B17" s="856" t="s">
        <v>398</v>
      </c>
      <c r="C17" s="857"/>
      <c r="D17" s="858"/>
      <c r="E17" s="858"/>
      <c r="F17" s="858"/>
      <c r="G17" s="859"/>
      <c r="H17" s="494"/>
      <c r="I17" s="490"/>
      <c r="J17" s="494"/>
      <c r="K17" s="124"/>
      <c r="L17" s="124"/>
      <c r="M17" s="439" t="s">
        <v>402</v>
      </c>
      <c r="N17" s="439"/>
      <c r="O17" s="439"/>
      <c r="P17" s="495">
        <f>0.4*$M$16</f>
        <v>0.4</v>
      </c>
      <c r="Q17" s="243">
        <f>IF($D$20&lt;0.52,98,IF(OR($D$19="C",$D$19="D"),98,ROUND(P17*61+(1-P17)*98,0)))</f>
        <v>98</v>
      </c>
      <c r="R17" s="502">
        <f>IF(OR(D18=0,D18=""),98,VLOOKUP(D18,Pervious,5))</f>
        <v>98</v>
      </c>
      <c r="S17" s="124" t="s">
        <v>407</v>
      </c>
      <c r="V17" s="222"/>
      <c r="W17" s="223"/>
      <c r="X17" s="146"/>
      <c r="Y17" s="854" t="s">
        <v>124</v>
      </c>
      <c r="Z17" s="855"/>
      <c r="AA17" s="458">
        <f>ROUND(($Z$14*AA14)+($Z$15*AA15)+($Z$16*AA16),0)</f>
        <v>0</v>
      </c>
      <c r="AB17" s="458">
        <f>ROUND(($Z$14*AB14)+($Z$15*AB15)+($Z$16*AB16),0)</f>
        <v>0</v>
      </c>
      <c r="AC17" s="458">
        <f>ROUND(($Z$14*AC14)+($Z$15*AC15)+($Z$16*AC16),0)</f>
        <v>0</v>
      </c>
      <c r="AD17" s="458">
        <f>ROUND(($Z$14*AD14)+($Z$15*AD15)+($Z$16*AD16),0)</f>
        <v>0</v>
      </c>
      <c r="AE17" s="153"/>
    </row>
    <row r="18" spans="1:31" ht="15" customHeight="1">
      <c r="A18" s="82"/>
      <c r="B18" s="901" t="s">
        <v>400</v>
      </c>
      <c r="C18" s="902"/>
      <c r="D18" s="903"/>
      <c r="E18" s="903"/>
      <c r="F18" s="903"/>
      <c r="G18" s="903"/>
      <c r="H18" s="842">
        <f>IF(OR(D18="None",D18=""),"",IF(OR(D19="C",D19="D"),"Warning: Soil Type does not meet State standards. CN=98",IF(D20&lt;0.52,"Warning:  Permeability below State standards. CN=98",IF(R17=83,"CN=83, 40% Pervious",IF(R17=76,"CN=76, 60% Pervious",IF(R17=91,"CN=91, 20% Pervious per Low Density Standards",IF(R17=87,"CN=87, 30% Pervious per Low Density Standards","")))))))</f>
      </c>
      <c r="I18" s="843"/>
      <c r="J18" s="532"/>
      <c r="K18" s="124"/>
      <c r="L18" s="124"/>
      <c r="M18" s="439" t="s">
        <v>405</v>
      </c>
      <c r="N18" s="439"/>
      <c r="O18" s="439"/>
      <c r="P18" s="495">
        <f>0.6*$M$16</f>
        <v>0.6</v>
      </c>
      <c r="Q18" s="243">
        <f>IF($D$20&lt;0.52,98,IF(OR($D$19="C",$D$19="D"),98,ROUND(P18*61+(1-P18)*98,0)))</f>
        <v>98</v>
      </c>
      <c r="R18" s="243"/>
      <c r="S18" s="124"/>
      <c r="T18" s="124"/>
      <c r="U18" s="124"/>
      <c r="V18" s="222"/>
      <c r="W18" s="223"/>
      <c r="X18" s="146"/>
      <c r="Y18" s="124"/>
      <c r="Z18" s="456"/>
      <c r="AA18" s="457"/>
      <c r="AB18" s="457"/>
      <c r="AC18" s="457"/>
      <c r="AD18" s="457"/>
      <c r="AE18" s="153"/>
    </row>
    <row r="19" spans="1:31" ht="15" customHeight="1">
      <c r="A19" s="82"/>
      <c r="B19" s="883" t="s">
        <v>29</v>
      </c>
      <c r="C19" s="884"/>
      <c r="D19" s="338"/>
      <c r="E19" s="500"/>
      <c r="F19" s="500"/>
      <c r="G19" s="499"/>
      <c r="H19" s="842"/>
      <c r="I19" s="843"/>
      <c r="J19" s="532"/>
      <c r="K19" s="124"/>
      <c r="L19" s="124"/>
      <c r="M19" s="439" t="s">
        <v>401</v>
      </c>
      <c r="N19" s="439"/>
      <c r="O19" s="439"/>
      <c r="P19" s="495">
        <f>0.6*$M$16</f>
        <v>0.6</v>
      </c>
      <c r="Q19" s="243">
        <f>IF($D$20&lt;0.52,98,IF(OR($D$19="C",$D$19="D"),98,ROUND(P19*61+(1-P19)*98,0)))</f>
        <v>98</v>
      </c>
      <c r="R19" s="243"/>
      <c r="S19" s="124"/>
      <c r="T19" s="124"/>
      <c r="U19" s="124"/>
      <c r="V19" s="222"/>
      <c r="W19" s="223"/>
      <c r="X19" s="146"/>
      <c r="Y19" s="282" t="s">
        <v>189</v>
      </c>
      <c r="Z19" s="283"/>
      <c r="AA19" s="146"/>
      <c r="AB19" s="146"/>
      <c r="AC19" s="146"/>
      <c r="AD19" s="146"/>
      <c r="AE19" s="153"/>
    </row>
    <row r="20" spans="1:31" ht="15" customHeight="1">
      <c r="A20" s="82"/>
      <c r="B20" s="840" t="s">
        <v>403</v>
      </c>
      <c r="C20" s="841"/>
      <c r="D20" s="604"/>
      <c r="E20" s="501" t="s">
        <v>404</v>
      </c>
      <c r="F20" s="501"/>
      <c r="G20" s="317"/>
      <c r="H20" s="842"/>
      <c r="I20" s="843"/>
      <c r="J20" s="532"/>
      <c r="K20" s="124"/>
      <c r="L20" s="124"/>
      <c r="M20" s="439" t="s">
        <v>399</v>
      </c>
      <c r="N20" s="439"/>
      <c r="O20" s="439"/>
      <c r="P20" s="495">
        <f>0.4*$M$16</f>
        <v>0.4</v>
      </c>
      <c r="Q20" s="243">
        <f>IF($D$20&lt;0.52,98,IF(OR($D$19="C",$D$19="D"),98,ROUND(P20*61+(1-P20)*98,0)))</f>
        <v>98</v>
      </c>
      <c r="R20" s="243"/>
      <c r="S20" s="124"/>
      <c r="T20" s="124"/>
      <c r="U20" s="124"/>
      <c r="V20" s="222"/>
      <c r="W20" s="223"/>
      <c r="X20" s="146"/>
      <c r="Y20" s="146"/>
      <c r="Z20" s="226" t="s">
        <v>130</v>
      </c>
      <c r="AA20" s="280">
        <f>M48</f>
        <v>0</v>
      </c>
      <c r="AB20" s="146"/>
      <c r="AC20" s="146"/>
      <c r="AD20" s="146"/>
      <c r="AE20" s="153"/>
    </row>
    <row r="21" spans="1:31" ht="16.5" customHeight="1">
      <c r="A21" s="82"/>
      <c r="B21" s="83"/>
      <c r="C21" s="83"/>
      <c r="D21" s="83"/>
      <c r="E21" s="83"/>
      <c r="F21" s="83"/>
      <c r="G21" s="90"/>
      <c r="H21" s="842"/>
      <c r="I21" s="843"/>
      <c r="J21" s="532"/>
      <c r="K21" s="124"/>
      <c r="L21" s="243"/>
      <c r="M21" s="439" t="s">
        <v>428</v>
      </c>
      <c r="N21" s="246"/>
      <c r="O21" s="124"/>
      <c r="P21" s="124"/>
      <c r="Q21" s="124"/>
      <c r="R21" s="124"/>
      <c r="S21" s="124"/>
      <c r="T21" s="124"/>
      <c r="U21" s="124"/>
      <c r="V21" s="222"/>
      <c r="W21" s="223"/>
      <c r="X21" s="146"/>
      <c r="Y21" s="290" t="s">
        <v>129</v>
      </c>
      <c r="Z21" s="291"/>
      <c r="AA21" s="291"/>
      <c r="AB21" s="292"/>
      <c r="AC21" s="146"/>
      <c r="AD21" s="146"/>
      <c r="AE21" s="153"/>
    </row>
    <row r="22" spans="1:31" ht="20.25" customHeight="1" thickBot="1">
      <c r="A22" s="89"/>
      <c r="B22" s="123" t="s">
        <v>29</v>
      </c>
      <c r="C22" s="882" t="s">
        <v>30</v>
      </c>
      <c r="D22" s="882"/>
      <c r="E22" s="123" t="s">
        <v>31</v>
      </c>
      <c r="F22" s="123" t="s">
        <v>45</v>
      </c>
      <c r="G22" s="123" t="s">
        <v>11</v>
      </c>
      <c r="H22" s="124"/>
      <c r="I22" s="91"/>
      <c r="J22" s="90"/>
      <c r="K22" s="124"/>
      <c r="L22" s="124"/>
      <c r="M22" s="146" t="s">
        <v>112</v>
      </c>
      <c r="N22" s="146" t="s">
        <v>113</v>
      </c>
      <c r="O22" s="146" t="s">
        <v>114</v>
      </c>
      <c r="P22" s="146" t="s">
        <v>111</v>
      </c>
      <c r="Q22" s="146" t="s">
        <v>132</v>
      </c>
      <c r="R22" s="146" t="s">
        <v>179</v>
      </c>
      <c r="S22" s="146" t="s">
        <v>180</v>
      </c>
      <c r="T22" s="146" t="s">
        <v>115</v>
      </c>
      <c r="U22" s="146" t="s">
        <v>364</v>
      </c>
      <c r="V22" s="139" t="s">
        <v>363</v>
      </c>
      <c r="X22" s="146"/>
      <c r="Y22" s="226" t="s">
        <v>128</v>
      </c>
      <c r="Z22" s="280">
        <f>M49</f>
        <v>0</v>
      </c>
      <c r="AA22" s="146"/>
      <c r="AB22" s="146"/>
      <c r="AC22" s="146"/>
      <c r="AD22" s="146"/>
      <c r="AE22" s="146"/>
    </row>
    <row r="23" spans="1:31" ht="15" customHeight="1" thickTop="1">
      <c r="A23" s="82"/>
      <c r="B23" s="71"/>
      <c r="C23" s="788"/>
      <c r="D23" s="788"/>
      <c r="E23" s="125">
        <f aca="true" t="shared" si="0" ref="E23:E36">IF(C23=$O$9,0,IF(C23=0,0,L23))</f>
        <v>0</v>
      </c>
      <c r="F23" s="71"/>
      <c r="G23" s="126">
        <f>IF(F23&gt;0,F23/$F$37,0)</f>
        <v>0</v>
      </c>
      <c r="H23" s="852"/>
      <c r="I23" s="853"/>
      <c r="J23" s="536"/>
      <c r="K23" s="224">
        <f>IF(O23=30,$Q$4,IF(O23=31,$R$4,IF(O23=32,$S$4,IF(O23=33,$T$4,IF(O23=20,$Q$6,IF(O23=21,$R$6,IF(O23=22,$S$6,IF(O23=23,$T$6,98))))))))</f>
        <v>98</v>
      </c>
      <c r="L23" s="128">
        <f>IF(O23=10,$AA$17,IF(O23=11,$AB$17,IF(O23=12,$AC$17,IF(O23=13,$AD$17,IF(AND(O23&gt;=60,O23&lt;=61),$R$17,K23)))))</f>
        <v>98</v>
      </c>
      <c r="M23" s="128">
        <f aca="true" t="shared" si="1" ref="M23:M36">IF(B23=$O$4,0,IF(B23=$O$5,1,IF(B23=$O$6,2,IF(B23=$O$7,3,""))))</f>
      </c>
      <c r="N23" s="128">
        <f>IF(C23=$O$10,10,IF(C23=$O$11,20,IF(C23=$O$12,30,IF(C23=$O$13,40,IF(C23=$O$14,50,IF(C23=$O$15,60,""))))))</f>
      </c>
      <c r="O23" s="128">
        <f>IF(M23="",0,IF(N23="",0,SUM(M23:N23)))</f>
        <v>0</v>
      </c>
      <c r="P23" s="128">
        <f aca="true" t="shared" si="2" ref="P23:P36">IF(N23="",0,IF(N23=40,0,IF(N23=20,F23,IF(N23=30,F23,IF(AND(OR(O23=61,O23=60),VLOOKUP($D$18,Pervious,5)&lt;98),F23*VLOOKUP($D$18,Pervious,4),0)))))</f>
        <v>0</v>
      </c>
      <c r="Q23" s="128">
        <f aca="true" t="shared" si="3" ref="Q23:Q36">IF(N23=20,F23,0)</f>
        <v>0</v>
      </c>
      <c r="R23" s="128">
        <f aca="true" t="shared" si="4" ref="R23:R36">IF(N23=50,F23,IF(N23=10,($Z$16*($E$15/100)*F23),0))</f>
        <v>0</v>
      </c>
      <c r="S23" s="128">
        <f>IF(N23=40,F23,IF(N23=10,($Z$16*(1-($E$15/100))*F23),IF(N23&gt;=60,F23-P23,0)))</f>
        <v>0</v>
      </c>
      <c r="T23" s="318">
        <f aca="true" t="shared" si="5" ref="T23:T36">IF(C23=$O$10,F23,0)</f>
        <v>0</v>
      </c>
      <c r="U23" s="318">
        <f>IF(T23=0,0,IF(M23=0,((($Z$14/($Z$15+$Z$14))*$AA$14)+($Z$15/($Z$14+$Z$15))*$AA$15),IF(M23=1,((($Z$14/($Z$15+$Z$14))*$AB$14)+(($Z$15/($Z$14+$Z$15))*$AB$15)),IF(M23=2,((($Z$14/($Z$15+$Z$14))*$AC$14)+(($Z$15/($Z$14+$Z$15))*$AC$15)),IF(M23=3,((($Z$14/($Z$15+$Z$14))*$AD$14)+(($Z$15/($Z$14+$Z$15))*$AD$15)))))))</f>
        <v>0</v>
      </c>
      <c r="V23" s="320">
        <f>IF(L23=98,0,IF(AND(O23&gt;=60,O23&lt;=61),61*P23,IF(T23&gt;0,U23*(F23-S23-R23),E23*F23)))</f>
        <v>0</v>
      </c>
      <c r="X23" s="146"/>
      <c r="Y23" s="226" t="s">
        <v>126</v>
      </c>
      <c r="Z23" s="264">
        <f>T43*100</f>
        <v>0</v>
      </c>
      <c r="AA23" s="146"/>
      <c r="AB23" s="146"/>
      <c r="AC23" s="146"/>
      <c r="AD23" s="146"/>
      <c r="AE23" s="146"/>
    </row>
    <row r="24" spans="1:31" ht="15" customHeight="1">
      <c r="A24" s="82"/>
      <c r="B24" s="71"/>
      <c r="C24" s="788"/>
      <c r="D24" s="788"/>
      <c r="E24" s="125">
        <f t="shared" si="0"/>
        <v>0</v>
      </c>
      <c r="F24" s="72"/>
      <c r="G24" s="126">
        <f aca="true" t="shared" si="6" ref="G24:G36">IF(F24&gt;0,F24/$F$37,0)</f>
        <v>0</v>
      </c>
      <c r="H24" s="852"/>
      <c r="I24" s="853"/>
      <c r="J24" s="536"/>
      <c r="K24" s="224">
        <f aca="true" t="shared" si="7" ref="K24:K36">IF(O24=30,$Q$4,IF(O24=31,$R$4,IF(O24=32,$S$4,IF(O24=33,$T$4,IF(O24=20,$Q$6,IF(O24=21,$R$6,IF(O24=22,$S$6,IF(O24=23,$T$6,98))))))))</f>
        <v>98</v>
      </c>
      <c r="L24" s="128">
        <f aca="true" t="shared" si="8" ref="L24:L36">IF(O24=10,$AA$17,IF(O24=11,$AB$17,IF(O24=12,$AC$17,IF(O24=13,$AD$17,IF(AND(O24&gt;=60,O24&lt;=61),$R$17,K24)))))</f>
        <v>98</v>
      </c>
      <c r="M24" s="128">
        <f t="shared" si="1"/>
      </c>
      <c r="N24" s="128">
        <f aca="true" t="shared" si="9" ref="N24:N36">IF(C24=$O$10,10,IF(C24=$O$11,20,IF(C24=$O$12,30,IF(C24=$O$13,40,IF(C24=$O$14,50,IF(C24=$O$15,60,""))))))</f>
      </c>
      <c r="O24" s="128">
        <f aca="true" t="shared" si="10" ref="O24:O36">IF(M24="",0,IF(N24="",0,SUM(M24:N24)))</f>
        <v>0</v>
      </c>
      <c r="P24" s="128">
        <f t="shared" si="2"/>
        <v>0</v>
      </c>
      <c r="Q24" s="128">
        <f t="shared" si="3"/>
        <v>0</v>
      </c>
      <c r="R24" s="128">
        <f t="shared" si="4"/>
        <v>0</v>
      </c>
      <c r="S24" s="128">
        <f aca="true" t="shared" si="11" ref="S24:S36">IF(N24=40,F24,IF(N24=10,($Z$16*(1-($E$15/100))*F24),IF(N24&gt;=60,F24-P24,0)))</f>
        <v>0</v>
      </c>
      <c r="T24" s="318">
        <f t="shared" si="5"/>
        <v>0</v>
      </c>
      <c r="U24" s="318">
        <f aca="true" t="shared" si="12" ref="U24:U36">IF(T24=0,0,IF(M24=0,((($Z$14/($Z$15+$Z$14))*$AA$14)+($Z$15/($Z$14+$Z$15))*$AA$15),IF(M24=1,((($Z$14/($Z$15+$Z$14))*$AB$14)+(($Z$15/($Z$14+$Z$15))*$AB$15)),IF(M24=2,((($Z$14/($Z$15+$Z$14))*$AC$14)+(($Z$15/($Z$14+$Z$15))*$AC$15)),IF(M24=3,((($Z$14/($Z$15+$Z$14))*$AD$14)+(($Z$15/($Z$14+$Z$15))*$AD$15)))))))</f>
        <v>0</v>
      </c>
      <c r="V24" s="320">
        <f aca="true" t="shared" si="13" ref="V24:V36">IF(L24=98,0,IF(AND(O24&gt;=60,O24&lt;=61),61*P24,IF(T24&gt;0,U24*(F24-S24-R24),E24*F24)))</f>
        <v>0</v>
      </c>
      <c r="X24" s="146"/>
      <c r="Y24" s="226" t="s">
        <v>125</v>
      </c>
      <c r="Z24" s="264">
        <f>R49</f>
        <v>0</v>
      </c>
      <c r="AA24" s="146"/>
      <c r="AB24" s="146"/>
      <c r="AC24" s="146"/>
      <c r="AD24" s="146"/>
      <c r="AE24" s="146"/>
    </row>
    <row r="25" spans="1:31" ht="15" customHeight="1">
      <c r="A25" s="82"/>
      <c r="B25" s="71"/>
      <c r="C25" s="788"/>
      <c r="D25" s="788"/>
      <c r="E25" s="125">
        <f t="shared" si="0"/>
        <v>0</v>
      </c>
      <c r="F25" s="72"/>
      <c r="G25" s="126">
        <f t="shared" si="6"/>
        <v>0</v>
      </c>
      <c r="H25" s="852"/>
      <c r="I25" s="853"/>
      <c r="J25" s="536"/>
      <c r="K25" s="224">
        <f t="shared" si="7"/>
        <v>98</v>
      </c>
      <c r="L25" s="128">
        <f t="shared" si="8"/>
        <v>98</v>
      </c>
      <c r="M25" s="128">
        <f t="shared" si="1"/>
      </c>
      <c r="N25" s="128">
        <f t="shared" si="9"/>
      </c>
      <c r="O25" s="128">
        <f t="shared" si="10"/>
        <v>0</v>
      </c>
      <c r="P25" s="128">
        <f t="shared" si="2"/>
        <v>0</v>
      </c>
      <c r="Q25" s="128">
        <f t="shared" si="3"/>
        <v>0</v>
      </c>
      <c r="R25" s="128">
        <f t="shared" si="4"/>
        <v>0</v>
      </c>
      <c r="S25" s="128">
        <f t="shared" si="11"/>
        <v>0</v>
      </c>
      <c r="T25" s="318">
        <f t="shared" si="5"/>
        <v>0</v>
      </c>
      <c r="U25" s="318">
        <f t="shared" si="12"/>
        <v>0</v>
      </c>
      <c r="V25" s="320">
        <f t="shared" si="13"/>
        <v>0</v>
      </c>
      <c r="W25" s="124"/>
      <c r="X25" s="146"/>
      <c r="Y25" s="238" t="s">
        <v>127</v>
      </c>
      <c r="Z25" s="281">
        <f>M51</f>
        <v>0</v>
      </c>
      <c r="AA25" s="146"/>
      <c r="AB25" s="146"/>
      <c r="AC25" s="146"/>
      <c r="AD25" s="146"/>
      <c r="AE25" s="146"/>
    </row>
    <row r="26" spans="1:31" ht="15" customHeight="1">
      <c r="A26" s="82"/>
      <c r="B26" s="71"/>
      <c r="C26" s="788"/>
      <c r="D26" s="788"/>
      <c r="E26" s="125">
        <f t="shared" si="0"/>
        <v>0</v>
      </c>
      <c r="F26" s="72"/>
      <c r="G26" s="126">
        <f t="shared" si="6"/>
        <v>0</v>
      </c>
      <c r="H26" s="852"/>
      <c r="I26" s="853"/>
      <c r="J26" s="536"/>
      <c r="K26" s="224">
        <f t="shared" si="7"/>
        <v>98</v>
      </c>
      <c r="L26" s="128">
        <f>IF(O26=10,$AA$17,IF(O26=11,$AB$17,IF(O26=12,$AC$17,IF(O26=13,$AD$17,IF(AND(O26&gt;=60,O26&lt;=61),$R$17,K26)))))</f>
        <v>98</v>
      </c>
      <c r="M26" s="128">
        <f t="shared" si="1"/>
      </c>
      <c r="N26" s="128">
        <f t="shared" si="9"/>
      </c>
      <c r="O26" s="128">
        <f t="shared" si="10"/>
        <v>0</v>
      </c>
      <c r="P26" s="128">
        <f t="shared" si="2"/>
        <v>0</v>
      </c>
      <c r="Q26" s="128">
        <f t="shared" si="3"/>
        <v>0</v>
      </c>
      <c r="R26" s="128">
        <f t="shared" si="4"/>
        <v>0</v>
      </c>
      <c r="S26" s="128">
        <f t="shared" si="11"/>
        <v>0</v>
      </c>
      <c r="T26" s="318">
        <f t="shared" si="5"/>
        <v>0</v>
      </c>
      <c r="U26" s="318">
        <f t="shared" si="12"/>
        <v>0</v>
      </c>
      <c r="V26" s="320">
        <f t="shared" si="13"/>
        <v>0</v>
      </c>
      <c r="W26" s="124"/>
      <c r="X26" s="146"/>
      <c r="Y26" s="146"/>
      <c r="Z26" s="146"/>
      <c r="AA26" s="146"/>
      <c r="AB26" s="146"/>
      <c r="AC26" s="146"/>
      <c r="AD26" s="293"/>
      <c r="AE26" s="146"/>
    </row>
    <row r="27" spans="1:31" ht="15" customHeight="1">
      <c r="A27" s="82"/>
      <c r="B27" s="71"/>
      <c r="C27" s="788"/>
      <c r="D27" s="788"/>
      <c r="E27" s="125">
        <f t="shared" si="0"/>
        <v>0</v>
      </c>
      <c r="F27" s="72"/>
      <c r="G27" s="126">
        <f t="shared" si="6"/>
        <v>0</v>
      </c>
      <c r="H27" s="852"/>
      <c r="I27" s="853"/>
      <c r="J27" s="536"/>
      <c r="K27" s="224">
        <f t="shared" si="7"/>
        <v>98</v>
      </c>
      <c r="L27" s="128">
        <f t="shared" si="8"/>
        <v>98</v>
      </c>
      <c r="M27" s="128">
        <f t="shared" si="1"/>
      </c>
      <c r="N27" s="128">
        <f t="shared" si="9"/>
      </c>
      <c r="O27" s="128">
        <f t="shared" si="10"/>
        <v>0</v>
      </c>
      <c r="P27" s="128">
        <f t="shared" si="2"/>
        <v>0</v>
      </c>
      <c r="Q27" s="128">
        <f t="shared" si="3"/>
        <v>0</v>
      </c>
      <c r="R27" s="128">
        <f t="shared" si="4"/>
        <v>0</v>
      </c>
      <c r="S27" s="128">
        <f t="shared" si="11"/>
        <v>0</v>
      </c>
      <c r="T27" s="318">
        <f t="shared" si="5"/>
        <v>0</v>
      </c>
      <c r="U27" s="318">
        <f t="shared" si="12"/>
        <v>0</v>
      </c>
      <c r="V27" s="320">
        <f t="shared" si="13"/>
        <v>0</v>
      </c>
      <c r="X27" s="146"/>
      <c r="Y27" s="282" t="s">
        <v>141</v>
      </c>
      <c r="Z27" s="146"/>
      <c r="AA27" s="146"/>
      <c r="AE27" s="146"/>
    </row>
    <row r="28" spans="1:31" ht="15" customHeight="1">
      <c r="A28" s="82"/>
      <c r="B28" s="71"/>
      <c r="C28" s="788"/>
      <c r="D28" s="788"/>
      <c r="E28" s="125">
        <f t="shared" si="0"/>
        <v>0</v>
      </c>
      <c r="F28" s="73"/>
      <c r="G28" s="126">
        <f t="shared" si="6"/>
        <v>0</v>
      </c>
      <c r="H28" s="852"/>
      <c r="I28" s="853"/>
      <c r="J28" s="536"/>
      <c r="K28" s="224">
        <f t="shared" si="7"/>
        <v>98</v>
      </c>
      <c r="L28" s="128">
        <f t="shared" si="8"/>
        <v>98</v>
      </c>
      <c r="M28" s="128">
        <f t="shared" si="1"/>
      </c>
      <c r="N28" s="128">
        <f t="shared" si="9"/>
      </c>
      <c r="O28" s="128">
        <f t="shared" si="10"/>
        <v>0</v>
      </c>
      <c r="P28" s="128">
        <f t="shared" si="2"/>
        <v>0</v>
      </c>
      <c r="Q28" s="128">
        <f t="shared" si="3"/>
        <v>0</v>
      </c>
      <c r="R28" s="128">
        <f t="shared" si="4"/>
        <v>0</v>
      </c>
      <c r="S28" s="128">
        <f t="shared" si="11"/>
        <v>0</v>
      </c>
      <c r="T28" s="318">
        <f t="shared" si="5"/>
        <v>0</v>
      </c>
      <c r="U28" s="318">
        <f t="shared" si="12"/>
        <v>0</v>
      </c>
      <c r="V28" s="320">
        <f t="shared" si="13"/>
        <v>0</v>
      </c>
      <c r="X28" s="146"/>
      <c r="Y28" s="226" t="s">
        <v>67</v>
      </c>
      <c r="Z28" s="146" t="s">
        <v>139</v>
      </c>
      <c r="AA28" s="146"/>
      <c r="AB28" s="226" t="s">
        <v>192</v>
      </c>
      <c r="AC28" s="340">
        <f>Summary!E24</f>
        <v>1.5</v>
      </c>
      <c r="AE28" s="146"/>
    </row>
    <row r="29" spans="1:31" ht="15" customHeight="1">
      <c r="A29" s="82"/>
      <c r="B29" s="71"/>
      <c r="C29" s="788"/>
      <c r="D29" s="788"/>
      <c r="E29" s="125">
        <f t="shared" si="0"/>
        <v>0</v>
      </c>
      <c r="F29" s="73"/>
      <c r="G29" s="126">
        <f t="shared" si="6"/>
        <v>0</v>
      </c>
      <c r="H29" s="852">
        <f>IF(E10=T37,"","Error: Total lot area does not match value entered above")</f>
      </c>
      <c r="I29" s="853"/>
      <c r="J29" s="536"/>
      <c r="K29" s="224">
        <f t="shared" si="7"/>
        <v>98</v>
      </c>
      <c r="L29" s="128">
        <f t="shared" si="8"/>
        <v>98</v>
      </c>
      <c r="M29" s="128">
        <f t="shared" si="1"/>
      </c>
      <c r="N29" s="128">
        <f t="shared" si="9"/>
      </c>
      <c r="O29" s="128">
        <f t="shared" si="10"/>
        <v>0</v>
      </c>
      <c r="P29" s="128">
        <f t="shared" si="2"/>
        <v>0</v>
      </c>
      <c r="Q29" s="128">
        <f t="shared" si="3"/>
        <v>0</v>
      </c>
      <c r="R29" s="128">
        <f t="shared" si="4"/>
        <v>0</v>
      </c>
      <c r="S29" s="128">
        <f t="shared" si="11"/>
        <v>0</v>
      </c>
      <c r="T29" s="318">
        <f t="shared" si="5"/>
        <v>0</v>
      </c>
      <c r="U29" s="318">
        <f t="shared" si="12"/>
        <v>0</v>
      </c>
      <c r="V29" s="320">
        <f t="shared" si="13"/>
        <v>0</v>
      </c>
      <c r="X29" s="146"/>
      <c r="Y29" s="226" t="s">
        <v>137</v>
      </c>
      <c r="Z29" s="264">
        <f>IF(D43&gt;0,(1000/D43)-10,0)</f>
        <v>0</v>
      </c>
      <c r="AA29" s="146"/>
      <c r="AB29" s="226" t="s">
        <v>193</v>
      </c>
      <c r="AC29" s="340">
        <f>Summary!E25</f>
        <v>3.7</v>
      </c>
      <c r="AE29" s="146"/>
    </row>
    <row r="30" spans="1:31" ht="15" customHeight="1">
      <c r="A30" s="82"/>
      <c r="B30" s="71"/>
      <c r="C30" s="788"/>
      <c r="D30" s="788"/>
      <c r="E30" s="125">
        <f t="shared" si="0"/>
        <v>0</v>
      </c>
      <c r="F30" s="73"/>
      <c r="G30" s="126">
        <f t="shared" si="6"/>
        <v>0</v>
      </c>
      <c r="H30" s="852"/>
      <c r="I30" s="853"/>
      <c r="J30" s="536"/>
      <c r="K30" s="224">
        <f t="shared" si="7"/>
        <v>98</v>
      </c>
      <c r="L30" s="128">
        <f t="shared" si="8"/>
        <v>98</v>
      </c>
      <c r="M30" s="128">
        <f t="shared" si="1"/>
      </c>
      <c r="N30" s="128">
        <f t="shared" si="9"/>
      </c>
      <c r="O30" s="128">
        <f t="shared" si="10"/>
        <v>0</v>
      </c>
      <c r="P30" s="128">
        <f t="shared" si="2"/>
        <v>0</v>
      </c>
      <c r="Q30" s="128">
        <f t="shared" si="3"/>
        <v>0</v>
      </c>
      <c r="R30" s="128">
        <f t="shared" si="4"/>
        <v>0</v>
      </c>
      <c r="S30" s="128">
        <f t="shared" si="11"/>
        <v>0</v>
      </c>
      <c r="T30" s="318">
        <f t="shared" si="5"/>
        <v>0</v>
      </c>
      <c r="U30" s="318">
        <f t="shared" si="12"/>
        <v>0</v>
      </c>
      <c r="V30" s="320">
        <f t="shared" si="13"/>
        <v>0</v>
      </c>
      <c r="X30" s="146"/>
      <c r="Y30" s="226" t="s">
        <v>138</v>
      </c>
      <c r="Z30" s="146" t="s">
        <v>140</v>
      </c>
      <c r="AA30" s="146"/>
      <c r="AE30" s="146"/>
    </row>
    <row r="31" spans="1:31" ht="15" customHeight="1">
      <c r="A31" s="82"/>
      <c r="B31" s="71"/>
      <c r="C31" s="788"/>
      <c r="D31" s="788"/>
      <c r="E31" s="125">
        <f t="shared" si="0"/>
        <v>0</v>
      </c>
      <c r="F31" s="72"/>
      <c r="G31" s="126">
        <f t="shared" si="6"/>
        <v>0</v>
      </c>
      <c r="H31" s="852"/>
      <c r="I31" s="853"/>
      <c r="J31" s="536"/>
      <c r="K31" s="224">
        <f t="shared" si="7"/>
        <v>98</v>
      </c>
      <c r="L31" s="128">
        <f t="shared" si="8"/>
        <v>98</v>
      </c>
      <c r="M31" s="128">
        <f t="shared" si="1"/>
      </c>
      <c r="N31" s="128">
        <f t="shared" si="9"/>
      </c>
      <c r="O31" s="128">
        <f t="shared" si="10"/>
        <v>0</v>
      </c>
      <c r="P31" s="128">
        <f t="shared" si="2"/>
        <v>0</v>
      </c>
      <c r="Q31" s="128">
        <f t="shared" si="3"/>
        <v>0</v>
      </c>
      <c r="R31" s="128">
        <f t="shared" si="4"/>
        <v>0</v>
      </c>
      <c r="S31" s="128">
        <f t="shared" si="11"/>
        <v>0</v>
      </c>
      <c r="T31" s="318">
        <f t="shared" si="5"/>
        <v>0</v>
      </c>
      <c r="U31" s="318">
        <f t="shared" si="12"/>
        <v>0</v>
      </c>
      <c r="V31" s="320">
        <f t="shared" si="13"/>
        <v>0</v>
      </c>
      <c r="X31" s="146"/>
      <c r="Z31" s="238" t="s">
        <v>197</v>
      </c>
      <c r="AA31" s="298">
        <f>((AC28-(0.2*O48))^2)/(AC28+(0.8*O48))</f>
        <v>1.2801427319394016</v>
      </c>
      <c r="AB31" s="270" t="s">
        <v>28</v>
      </c>
      <c r="AE31" s="146"/>
    </row>
    <row r="32" spans="1:31" ht="15" customHeight="1">
      <c r="A32" s="82"/>
      <c r="B32" s="71"/>
      <c r="C32" s="788"/>
      <c r="D32" s="788"/>
      <c r="E32" s="125">
        <f t="shared" si="0"/>
        <v>0</v>
      </c>
      <c r="F32" s="72"/>
      <c r="G32" s="126">
        <f t="shared" si="6"/>
        <v>0</v>
      </c>
      <c r="H32" s="852"/>
      <c r="I32" s="853"/>
      <c r="J32" s="536"/>
      <c r="K32" s="224">
        <f t="shared" si="7"/>
        <v>98</v>
      </c>
      <c r="L32" s="128">
        <f t="shared" si="8"/>
        <v>98</v>
      </c>
      <c r="M32" s="128">
        <f t="shared" si="1"/>
      </c>
      <c r="N32" s="128">
        <f t="shared" si="9"/>
      </c>
      <c r="O32" s="128">
        <f t="shared" si="10"/>
        <v>0</v>
      </c>
      <c r="P32" s="128">
        <f t="shared" si="2"/>
        <v>0</v>
      </c>
      <c r="Q32" s="128">
        <f t="shared" si="3"/>
        <v>0</v>
      </c>
      <c r="R32" s="128">
        <f t="shared" si="4"/>
        <v>0</v>
      </c>
      <c r="S32" s="128">
        <f t="shared" si="11"/>
        <v>0</v>
      </c>
      <c r="T32" s="318">
        <f t="shared" si="5"/>
        <v>0</v>
      </c>
      <c r="U32" s="318">
        <f t="shared" si="12"/>
        <v>0</v>
      </c>
      <c r="V32" s="320">
        <f t="shared" si="13"/>
        <v>0</v>
      </c>
      <c r="X32" s="146"/>
      <c r="Z32" s="238" t="s">
        <v>198</v>
      </c>
      <c r="AA32" s="298">
        <f>IF((0.2*O52)&gt;=AC28,0,((AC28-(0.2*O52))^2)/(AC28+(0.8*O52)))</f>
        <v>1.5</v>
      </c>
      <c r="AB32" s="270" t="s">
        <v>28</v>
      </c>
      <c r="AE32" s="146"/>
    </row>
    <row r="33" spans="1:31" ht="15" customHeight="1">
      <c r="A33" s="82"/>
      <c r="B33" s="71"/>
      <c r="C33" s="788"/>
      <c r="D33" s="788"/>
      <c r="E33" s="125">
        <f t="shared" si="0"/>
        <v>0</v>
      </c>
      <c r="F33" s="72"/>
      <c r="G33" s="126">
        <f t="shared" si="6"/>
        <v>0</v>
      </c>
      <c r="H33" s="124"/>
      <c r="I33" s="91"/>
      <c r="J33" s="83"/>
      <c r="K33" s="224">
        <f t="shared" si="7"/>
        <v>98</v>
      </c>
      <c r="L33" s="128">
        <f t="shared" si="8"/>
        <v>98</v>
      </c>
      <c r="M33" s="128">
        <f t="shared" si="1"/>
      </c>
      <c r="N33" s="128">
        <f t="shared" si="9"/>
      </c>
      <c r="O33" s="128">
        <f t="shared" si="10"/>
        <v>0</v>
      </c>
      <c r="P33" s="128">
        <f t="shared" si="2"/>
        <v>0</v>
      </c>
      <c r="Q33" s="128">
        <f t="shared" si="3"/>
        <v>0</v>
      </c>
      <c r="R33" s="128">
        <f t="shared" si="4"/>
        <v>0</v>
      </c>
      <c r="S33" s="128">
        <f t="shared" si="11"/>
        <v>0</v>
      </c>
      <c r="T33" s="318">
        <f t="shared" si="5"/>
        <v>0</v>
      </c>
      <c r="U33" s="318">
        <f t="shared" si="12"/>
        <v>0</v>
      </c>
      <c r="V33" s="320">
        <f t="shared" si="13"/>
        <v>0</v>
      </c>
      <c r="X33" s="146"/>
      <c r="Y33" s="146"/>
      <c r="Z33" s="238" t="s">
        <v>190</v>
      </c>
      <c r="AA33" s="298">
        <f>IF(0.2*Z29&gt;AC29,0,((AC29-(0.2*Z29))^2)/(AC29+(0.8*Z29)))</f>
        <v>3.7</v>
      </c>
      <c r="AB33" s="270" t="s">
        <v>28</v>
      </c>
      <c r="AC33" s="146"/>
      <c r="AD33" s="146"/>
      <c r="AE33" s="146"/>
    </row>
    <row r="34" spans="1:31" ht="15" customHeight="1">
      <c r="A34" s="82"/>
      <c r="B34" s="71"/>
      <c r="C34" s="788"/>
      <c r="D34" s="788"/>
      <c r="E34" s="125">
        <f t="shared" si="0"/>
        <v>0</v>
      </c>
      <c r="F34" s="72"/>
      <c r="G34" s="126">
        <f t="shared" si="6"/>
        <v>0</v>
      </c>
      <c r="H34" s="124"/>
      <c r="I34" s="91"/>
      <c r="J34" s="83"/>
      <c r="K34" s="224">
        <f t="shared" si="7"/>
        <v>98</v>
      </c>
      <c r="L34" s="128">
        <f t="shared" si="8"/>
        <v>98</v>
      </c>
      <c r="M34" s="128">
        <f t="shared" si="1"/>
      </c>
      <c r="N34" s="128">
        <f t="shared" si="9"/>
      </c>
      <c r="O34" s="128">
        <f t="shared" si="10"/>
        <v>0</v>
      </c>
      <c r="P34" s="128">
        <f t="shared" si="2"/>
        <v>0</v>
      </c>
      <c r="Q34" s="128">
        <f t="shared" si="3"/>
        <v>0</v>
      </c>
      <c r="R34" s="128">
        <f t="shared" si="4"/>
        <v>0</v>
      </c>
      <c r="S34" s="128">
        <f t="shared" si="11"/>
        <v>0</v>
      </c>
      <c r="T34" s="318">
        <f t="shared" si="5"/>
        <v>0</v>
      </c>
      <c r="U34" s="318">
        <f t="shared" si="12"/>
        <v>0</v>
      </c>
      <c r="V34" s="320">
        <f t="shared" si="13"/>
        <v>0</v>
      </c>
      <c r="X34" s="146"/>
      <c r="Y34" s="146"/>
      <c r="Z34" s="238"/>
      <c r="AA34" s="298"/>
      <c r="AB34" s="270"/>
      <c r="AC34" s="146"/>
      <c r="AD34" s="146"/>
      <c r="AE34" s="146"/>
    </row>
    <row r="35" spans="1:31" ht="15" customHeight="1">
      <c r="A35" s="104"/>
      <c r="B35" s="71"/>
      <c r="C35" s="788"/>
      <c r="D35" s="788"/>
      <c r="E35" s="125">
        <f t="shared" si="0"/>
        <v>0</v>
      </c>
      <c r="F35" s="72"/>
      <c r="G35" s="126">
        <f t="shared" si="6"/>
        <v>0</v>
      </c>
      <c r="H35" s="848">
        <f>IF(F37='Pre-Development'!F25,"","Error: Site Area does not match pre-development.")</f>
      </c>
      <c r="I35" s="849"/>
      <c r="J35" s="537"/>
      <c r="K35" s="224">
        <f t="shared" si="7"/>
        <v>98</v>
      </c>
      <c r="L35" s="128">
        <f t="shared" si="8"/>
        <v>98</v>
      </c>
      <c r="M35" s="128">
        <f t="shared" si="1"/>
      </c>
      <c r="N35" s="128">
        <f t="shared" si="9"/>
      </c>
      <c r="O35" s="128">
        <f t="shared" si="10"/>
        <v>0</v>
      </c>
      <c r="P35" s="128">
        <f t="shared" si="2"/>
        <v>0</v>
      </c>
      <c r="Q35" s="128">
        <f t="shared" si="3"/>
        <v>0</v>
      </c>
      <c r="R35" s="128">
        <f t="shared" si="4"/>
        <v>0</v>
      </c>
      <c r="S35" s="128">
        <f t="shared" si="11"/>
        <v>0</v>
      </c>
      <c r="T35" s="318">
        <f t="shared" si="5"/>
        <v>0</v>
      </c>
      <c r="U35" s="318">
        <f t="shared" si="12"/>
        <v>0</v>
      </c>
      <c r="V35" s="320">
        <f t="shared" si="13"/>
        <v>0</v>
      </c>
      <c r="X35" s="146"/>
      <c r="Y35" s="146"/>
      <c r="Z35" s="238"/>
      <c r="AA35" s="298"/>
      <c r="AB35" s="270"/>
      <c r="AC35" s="146"/>
      <c r="AD35" s="146"/>
      <c r="AE35" s="146"/>
    </row>
    <row r="36" spans="1:31" ht="15" customHeight="1">
      <c r="A36" s="104"/>
      <c r="B36" s="71"/>
      <c r="C36" s="788"/>
      <c r="D36" s="788"/>
      <c r="E36" s="125">
        <f t="shared" si="0"/>
        <v>0</v>
      </c>
      <c r="F36" s="72"/>
      <c r="G36" s="126">
        <f t="shared" si="6"/>
        <v>0</v>
      </c>
      <c r="H36" s="848"/>
      <c r="I36" s="849"/>
      <c r="J36" s="537"/>
      <c r="K36" s="224">
        <f t="shared" si="7"/>
        <v>98</v>
      </c>
      <c r="L36" s="128">
        <f t="shared" si="8"/>
        <v>98</v>
      </c>
      <c r="M36" s="128">
        <f t="shared" si="1"/>
      </c>
      <c r="N36" s="128">
        <f t="shared" si="9"/>
      </c>
      <c r="O36" s="128">
        <f t="shared" si="10"/>
        <v>0</v>
      </c>
      <c r="P36" s="128">
        <f t="shared" si="2"/>
        <v>0</v>
      </c>
      <c r="Q36" s="128">
        <f t="shared" si="3"/>
        <v>0</v>
      </c>
      <c r="R36" s="128">
        <f t="shared" si="4"/>
        <v>0</v>
      </c>
      <c r="S36" s="128">
        <f t="shared" si="11"/>
        <v>0</v>
      </c>
      <c r="T36" s="318">
        <f t="shared" si="5"/>
        <v>0</v>
      </c>
      <c r="U36" s="318">
        <f t="shared" si="12"/>
        <v>0</v>
      </c>
      <c r="V36" s="320">
        <f t="shared" si="13"/>
        <v>0</v>
      </c>
      <c r="X36" s="146"/>
      <c r="Y36" s="146"/>
      <c r="Z36" s="238"/>
      <c r="AA36" s="298"/>
      <c r="AB36" s="270"/>
      <c r="AC36" s="146"/>
      <c r="AD36" s="146"/>
      <c r="AE36" s="146"/>
    </row>
    <row r="37" spans="1:31" ht="15" customHeight="1">
      <c r="A37" s="82"/>
      <c r="B37" s="528"/>
      <c r="C37" s="529"/>
      <c r="D37" s="846" t="s">
        <v>431</v>
      </c>
      <c r="E37" s="847"/>
      <c r="F37" s="129">
        <f>SUM(F23:F36)</f>
        <v>0</v>
      </c>
      <c r="G37" s="127">
        <f>SUM(G23:G36)</f>
        <v>0</v>
      </c>
      <c r="H37" s="848"/>
      <c r="I37" s="849"/>
      <c r="J37" s="537"/>
      <c r="O37" s="238" t="s">
        <v>116</v>
      </c>
      <c r="P37" s="259">
        <f>SUM(P23:P36)</f>
        <v>0</v>
      </c>
      <c r="Q37" s="259">
        <f>SUM(Q23:Q36)</f>
        <v>0</v>
      </c>
      <c r="R37" s="259">
        <f>SUM(R23:R36)</f>
        <v>0</v>
      </c>
      <c r="S37" s="259">
        <f>SUM(S23:S36)</f>
        <v>0</v>
      </c>
      <c r="T37" s="319">
        <f>SUM(T23:T36)</f>
        <v>0</v>
      </c>
      <c r="U37" s="319"/>
      <c r="V37" s="321">
        <f>IF(F37-R37-S37&gt;0,ROUND((SUM(V23:V36))/(F37-R37-S37),0),0)</f>
        <v>0</v>
      </c>
      <c r="X37" s="146"/>
      <c r="Y37" s="146"/>
      <c r="Z37" s="238"/>
      <c r="AA37" s="298"/>
      <c r="AB37" s="270"/>
      <c r="AC37" s="146"/>
      <c r="AD37" s="146"/>
      <c r="AE37" s="146"/>
    </row>
    <row r="38" spans="1:31" ht="15" customHeight="1">
      <c r="A38" s="82"/>
      <c r="B38" s="524"/>
      <c r="C38" s="513"/>
      <c r="D38" s="513"/>
      <c r="E38" s="525"/>
      <c r="F38" s="244"/>
      <c r="G38" s="526"/>
      <c r="H38" s="580"/>
      <c r="I38" s="581"/>
      <c r="J38" s="527"/>
      <c r="O38" s="238"/>
      <c r="P38" s="147"/>
      <c r="Q38" s="147"/>
      <c r="R38" s="147"/>
      <c r="S38" s="147"/>
      <c r="T38" s="147"/>
      <c r="U38" s="147"/>
      <c r="V38" s="268"/>
      <c r="X38" s="146"/>
      <c r="AB38" s="146"/>
      <c r="AC38" s="146"/>
      <c r="AD38" s="146"/>
      <c r="AE38" s="146"/>
    </row>
    <row r="39" spans="1:31" ht="12.75">
      <c r="A39" s="82"/>
      <c r="B39" s="809" t="s">
        <v>450</v>
      </c>
      <c r="C39" s="809"/>
      <c r="D39" s="809"/>
      <c r="E39" s="809"/>
      <c r="F39" s="27">
        <f>'Pre-Development'!F28</f>
        <v>0</v>
      </c>
      <c r="G39" s="29" t="s">
        <v>12</v>
      </c>
      <c r="H39" s="580"/>
      <c r="I39" s="581"/>
      <c r="J39" s="527"/>
      <c r="O39" s="238"/>
      <c r="P39" s="147"/>
      <c r="Q39" s="147"/>
      <c r="R39" s="147"/>
      <c r="S39" s="147"/>
      <c r="T39" s="147"/>
      <c r="U39" s="147"/>
      <c r="V39" s="268"/>
      <c r="X39" s="146"/>
      <c r="AB39" s="146"/>
      <c r="AC39" s="146"/>
      <c r="AD39" s="146"/>
      <c r="AE39" s="146"/>
    </row>
    <row r="40" spans="1:31" ht="12.75" customHeight="1">
      <c r="A40" s="82"/>
      <c r="B40" s="809" t="s">
        <v>432</v>
      </c>
      <c r="C40" s="809"/>
      <c r="D40" s="809"/>
      <c r="E40" s="809"/>
      <c r="F40" s="27">
        <f>'Pre-Development'!F29</f>
        <v>0</v>
      </c>
      <c r="G40" s="29" t="s">
        <v>12</v>
      </c>
      <c r="H40" s="580"/>
      <c r="I40" s="581"/>
      <c r="J40" s="527"/>
      <c r="O40" s="238"/>
      <c r="P40" s="147"/>
      <c r="Q40" s="147"/>
      <c r="R40" s="147"/>
      <c r="S40" s="147"/>
      <c r="T40" s="147"/>
      <c r="U40" s="147"/>
      <c r="V40" s="268"/>
      <c r="X40" s="146"/>
      <c r="AB40" s="146"/>
      <c r="AC40" s="146"/>
      <c r="AD40" s="146"/>
      <c r="AE40" s="146"/>
    </row>
    <row r="41" spans="1:31" ht="12.75" customHeight="1">
      <c r="A41" s="82"/>
      <c r="B41" s="20"/>
      <c r="C41" s="20"/>
      <c r="D41" s="815" t="s">
        <v>106</v>
      </c>
      <c r="E41" s="815"/>
      <c r="F41" s="332">
        <f>F37+F39+F40</f>
        <v>0</v>
      </c>
      <c r="G41" s="523" t="s">
        <v>12</v>
      </c>
      <c r="H41" s="580"/>
      <c r="I41" s="581"/>
      <c r="J41" s="527"/>
      <c r="O41" s="238"/>
      <c r="P41" s="147"/>
      <c r="Q41" s="147"/>
      <c r="R41" s="147"/>
      <c r="S41" s="147"/>
      <c r="T41" s="147"/>
      <c r="U41" s="147"/>
      <c r="V41" s="268"/>
      <c r="X41" s="146"/>
      <c r="Y41" s="282" t="s">
        <v>170</v>
      </c>
      <c r="Z41" s="146"/>
      <c r="AA41" s="146"/>
      <c r="AB41" s="146"/>
      <c r="AC41" s="146"/>
      <c r="AD41" s="146"/>
      <c r="AE41" s="146"/>
    </row>
    <row r="42" spans="1:30" ht="17.25" customHeight="1" thickBot="1">
      <c r="A42" s="89"/>
      <c r="B42" s="185"/>
      <c r="C42" s="185"/>
      <c r="D42" s="185"/>
      <c r="E42" s="185"/>
      <c r="F42" s="137"/>
      <c r="G42" s="137"/>
      <c r="H42" s="124"/>
      <c r="I42" s="91"/>
      <c r="J42" s="83"/>
      <c r="X42" s="146"/>
      <c r="Y42" s="146" t="s">
        <v>142</v>
      </c>
      <c r="Z42" s="146"/>
      <c r="AA42" s="146"/>
      <c r="AB42" s="146"/>
      <c r="AC42" s="146"/>
      <c r="AD42" s="146"/>
    </row>
    <row r="43" spans="1:30" ht="19.5" customHeight="1" thickBot="1">
      <c r="A43" s="89"/>
      <c r="B43" s="130" t="s">
        <v>64</v>
      </c>
      <c r="C43" s="131"/>
      <c r="D43" s="265">
        <f>IF(F37=0,0,ROUND(M51,0))</f>
        <v>0</v>
      </c>
      <c r="E43" s="90"/>
      <c r="F43" s="90"/>
      <c r="G43" s="90"/>
      <c r="H43" s="124"/>
      <c r="I43" s="91"/>
      <c r="J43" s="83"/>
      <c r="S43" s="226" t="s">
        <v>188</v>
      </c>
      <c r="T43" s="261">
        <f>IF(F37&gt;0,(R37+S37)/F37,0)</f>
        <v>0</v>
      </c>
      <c r="U43" s="459"/>
      <c r="X43" s="146"/>
      <c r="Y43" s="226" t="s">
        <v>143</v>
      </c>
      <c r="Z43" s="439" t="s">
        <v>144</v>
      </c>
      <c r="AA43" s="439"/>
      <c r="AB43" s="439"/>
      <c r="AC43" s="146"/>
      <c r="AD43" s="146"/>
    </row>
    <row r="44" spans="1:30" ht="18" customHeight="1" thickBot="1">
      <c r="A44" s="89"/>
      <c r="B44" s="90"/>
      <c r="C44" s="90"/>
      <c r="D44" s="90"/>
      <c r="E44" s="90"/>
      <c r="F44" s="90"/>
      <c r="G44" s="133"/>
      <c r="H44" s="124"/>
      <c r="I44" s="91"/>
      <c r="J44" s="83"/>
      <c r="K44" s="124"/>
      <c r="L44" s="124"/>
      <c r="S44" s="146" t="s">
        <v>368</v>
      </c>
      <c r="T44" s="479">
        <f>IF(R46&gt;0,R37/R46,0)</f>
        <v>0</v>
      </c>
      <c r="X44" s="146"/>
      <c r="Y44" s="850" t="s">
        <v>296</v>
      </c>
      <c r="Z44" s="851"/>
      <c r="AA44" s="851"/>
      <c r="AB44" s="851"/>
      <c r="AC44" s="146"/>
      <c r="AD44" s="295"/>
    </row>
    <row r="45" spans="1:31" ht="16.5" customHeight="1" thickBot="1">
      <c r="A45" s="89"/>
      <c r="B45" s="344"/>
      <c r="C45" s="345"/>
      <c r="D45" s="346" t="s">
        <v>200</v>
      </c>
      <c r="E45" s="347">
        <f>IF(F41&gt;0,(AA31*(S37))+(AA32*(F37-S37)),0)</f>
        <v>0</v>
      </c>
      <c r="F45" s="322" t="s">
        <v>201</v>
      </c>
      <c r="G45" s="483">
        <f>IF(E45="","",E45/12*43560)</f>
        <v>0</v>
      </c>
      <c r="H45" s="481" t="s">
        <v>25</v>
      </c>
      <c r="I45" s="84"/>
      <c r="J45" s="83"/>
      <c r="K45" s="124"/>
      <c r="L45" s="124"/>
      <c r="S45" s="139" t="s">
        <v>370</v>
      </c>
      <c r="T45" s="459">
        <f>IF(F37-S37&gt;0,R37/(F37-S37),0)</f>
        <v>0</v>
      </c>
      <c r="U45" s="124"/>
      <c r="V45" s="124"/>
      <c r="W45" s="124"/>
      <c r="X45" s="146"/>
      <c r="Y45" s="851"/>
      <c r="Z45" s="851"/>
      <c r="AA45" s="851"/>
      <c r="AB45" s="851"/>
      <c r="AC45" s="438"/>
      <c r="AD45" s="295"/>
      <c r="AE45" s="146"/>
    </row>
    <row r="46" spans="1:31" ht="17.25" thickBot="1" thickTop="1">
      <c r="A46" s="89"/>
      <c r="B46" s="353"/>
      <c r="C46" s="341"/>
      <c r="D46" s="342" t="s">
        <v>199</v>
      </c>
      <c r="E46" s="343">
        <f>IF(F41&gt;0,AA33*F37,0)</f>
        <v>0</v>
      </c>
      <c r="F46" s="194" t="s">
        <v>201</v>
      </c>
      <c r="G46" s="483">
        <f>IF(E46="","",E46/12*43560)</f>
        <v>0</v>
      </c>
      <c r="H46" s="482" t="s">
        <v>25</v>
      </c>
      <c r="I46" s="84"/>
      <c r="J46" s="83"/>
      <c r="K46" s="124"/>
      <c r="M46" s="229"/>
      <c r="N46" s="230"/>
      <c r="O46" s="230"/>
      <c r="Q46" s="262" t="s">
        <v>120</v>
      </c>
      <c r="R46" s="263">
        <f>R37+S37</f>
        <v>0</v>
      </c>
      <c r="S46" s="231" t="s">
        <v>12</v>
      </c>
      <c r="W46" s="227"/>
      <c r="X46" s="146"/>
      <c r="Y46" s="851"/>
      <c r="Z46" s="851"/>
      <c r="AA46" s="851"/>
      <c r="AB46" s="851"/>
      <c r="AC46" s="438"/>
      <c r="AD46" s="295"/>
      <c r="AE46" s="146"/>
    </row>
    <row r="47" spans="1:31" ht="19.5" customHeight="1" thickBot="1">
      <c r="A47" s="86"/>
      <c r="B47" s="193"/>
      <c r="C47" s="193"/>
      <c r="D47" s="373"/>
      <c r="E47" s="374"/>
      <c r="F47" s="375"/>
      <c r="G47" s="193"/>
      <c r="H47" s="376"/>
      <c r="I47" s="88"/>
      <c r="J47" s="83"/>
      <c r="K47" s="124"/>
      <c r="M47" s="229"/>
      <c r="N47" s="230"/>
      <c r="O47" s="230"/>
      <c r="Q47" s="262"/>
      <c r="R47" s="263"/>
      <c r="S47" s="231"/>
      <c r="W47" s="227"/>
      <c r="X47" s="146"/>
      <c r="Y47" s="851"/>
      <c r="Z47" s="851"/>
      <c r="AA47" s="851"/>
      <c r="AB47" s="851"/>
      <c r="AC47" s="438"/>
      <c r="AD47" s="295"/>
      <c r="AE47" s="146"/>
    </row>
    <row r="48" spans="1:31" ht="15.75" customHeight="1">
      <c r="A48" s="118" t="s">
        <v>47</v>
      </c>
      <c r="B48" s="124"/>
      <c r="C48" s="124"/>
      <c r="D48" s="133"/>
      <c r="E48" s="871"/>
      <c r="F48" s="871"/>
      <c r="G48" s="124"/>
      <c r="H48" s="124"/>
      <c r="I48" s="91"/>
      <c r="J48" s="90"/>
      <c r="K48" s="81"/>
      <c r="L48" s="226" t="s">
        <v>437</v>
      </c>
      <c r="M48" s="260">
        <f>IF(V37&gt;0,ROUND((E23*G23)+(E24*G24)+(E25*G25)+(E26*G26)+(E27*G27)+(E28*G28)+(E29*G29)+(E30*G30)+(E31*G31)+(E32*G32)+(E33*G33)+(E34*G34)+(E35*G35)+(E36*G36),0),0)</f>
        <v>0</v>
      </c>
      <c r="N48" s="226" t="s">
        <v>196</v>
      </c>
      <c r="O48" s="146">
        <f>(1000/98)-10</f>
        <v>0.204081632653061</v>
      </c>
      <c r="Q48" s="226" t="s">
        <v>181</v>
      </c>
      <c r="R48" s="264">
        <f>R37</f>
        <v>0</v>
      </c>
      <c r="S48" s="132" t="s">
        <v>12</v>
      </c>
      <c r="W48" s="227"/>
      <c r="X48" s="146"/>
      <c r="Y48" s="226" t="s">
        <v>152</v>
      </c>
      <c r="Z48" s="146" t="s">
        <v>157</v>
      </c>
      <c r="AC48" s="146"/>
      <c r="AD48" s="146"/>
      <c r="AE48" s="146"/>
    </row>
    <row r="49" spans="1:31" ht="17.25" customHeight="1" thickBot="1">
      <c r="A49" s="89"/>
      <c r="B49" s="90"/>
      <c r="C49" s="123" t="s">
        <v>53</v>
      </c>
      <c r="D49" s="211" t="s">
        <v>51</v>
      </c>
      <c r="E49" s="898" t="s">
        <v>52</v>
      </c>
      <c r="F49" s="899"/>
      <c r="G49" s="123" t="s">
        <v>62</v>
      </c>
      <c r="H49" s="124"/>
      <c r="I49" s="91"/>
      <c r="J49" s="90"/>
      <c r="K49" s="81"/>
      <c r="L49" s="146" t="s">
        <v>117</v>
      </c>
      <c r="M49" s="260">
        <f>V37</f>
        <v>0</v>
      </c>
      <c r="N49" s="226" t="s">
        <v>195</v>
      </c>
      <c r="O49" s="146" t="e">
        <f>(1000/M49)-10</f>
        <v>#DIV/0!</v>
      </c>
      <c r="Q49" s="226" t="s">
        <v>21</v>
      </c>
      <c r="R49" s="264">
        <f>IF(R46=0,0,R48/R46)</f>
        <v>0</v>
      </c>
      <c r="W49" s="227"/>
      <c r="X49" s="146"/>
      <c r="Y49" s="146"/>
      <c r="Z49" s="296" t="s">
        <v>153</v>
      </c>
      <c r="AA49" s="297"/>
      <c r="AB49" s="146"/>
      <c r="AE49" s="146"/>
    </row>
    <row r="50" spans="1:31" ht="14.25" customHeight="1" thickTop="1">
      <c r="A50" s="872" t="s">
        <v>48</v>
      </c>
      <c r="B50" s="873"/>
      <c r="C50" s="71"/>
      <c r="D50" s="71"/>
      <c r="E50" s="802"/>
      <c r="F50" s="803"/>
      <c r="G50" s="212">
        <f>IF(D50="","",IF(C50="","",N57))</f>
      </c>
      <c r="H50" s="85"/>
      <c r="I50" s="84"/>
      <c r="J50" s="83"/>
      <c r="K50" s="81"/>
      <c r="L50" s="226" t="s">
        <v>118</v>
      </c>
      <c r="M50" s="260" t="s">
        <v>119</v>
      </c>
      <c r="N50" s="234"/>
      <c r="O50" s="234"/>
      <c r="P50" s="234"/>
      <c r="Q50" s="449"/>
      <c r="R50" s="234"/>
      <c r="S50" s="234"/>
      <c r="W50" s="227"/>
      <c r="X50" s="146"/>
      <c r="Y50" s="146"/>
      <c r="Z50" s="226" t="s">
        <v>154</v>
      </c>
      <c r="AA50" s="145" t="s">
        <v>158</v>
      </c>
      <c r="AB50" s="297"/>
      <c r="AC50" s="146"/>
      <c r="AD50" s="146"/>
      <c r="AE50" s="294"/>
    </row>
    <row r="51" spans="1:31" ht="14.25" customHeight="1" thickBot="1">
      <c r="A51" s="872" t="s">
        <v>48</v>
      </c>
      <c r="B51" s="873"/>
      <c r="C51" s="79"/>
      <c r="D51" s="79"/>
      <c r="E51" s="832"/>
      <c r="F51" s="834"/>
      <c r="G51" s="213">
        <f>IF(D51="","",IF(C51="","",N58))</f>
      </c>
      <c r="H51" s="85"/>
      <c r="I51" s="84"/>
      <c r="J51" s="83"/>
      <c r="K51" s="81"/>
      <c r="L51" s="226" t="s">
        <v>438</v>
      </c>
      <c r="M51" s="260">
        <f>IF(R46=0,M48,ROUND(M49+((T43)*(98-M49)*(1-(0.5*(R49)))),0))</f>
        <v>0</v>
      </c>
      <c r="N51" s="234"/>
      <c r="O51" s="234"/>
      <c r="P51" s="234"/>
      <c r="Q51" s="234"/>
      <c r="R51" s="449"/>
      <c r="S51" s="234"/>
      <c r="W51" s="124"/>
      <c r="X51" s="146"/>
      <c r="Y51" s="146"/>
      <c r="Z51" s="146" t="s">
        <v>155</v>
      </c>
      <c r="AA51" s="146"/>
      <c r="AB51" s="146"/>
      <c r="AC51" s="146"/>
      <c r="AD51" s="146"/>
      <c r="AE51" s="294"/>
    </row>
    <row r="52" spans="1:31" ht="14.25" customHeight="1" thickTop="1">
      <c r="A52" s="872" t="s">
        <v>49</v>
      </c>
      <c r="B52" s="873"/>
      <c r="C52" s="338"/>
      <c r="D52" s="338"/>
      <c r="E52" s="896"/>
      <c r="F52" s="897"/>
      <c r="G52" s="212">
        <f>IF(M59="","",N59)</f>
      </c>
      <c r="H52" s="85"/>
      <c r="I52" s="84"/>
      <c r="J52" s="83"/>
      <c r="K52" s="81"/>
      <c r="L52" s="139" t="s">
        <v>369</v>
      </c>
      <c r="M52" s="226">
        <f>IF(R46=0,M48,ROUND(M49+((T45)*(98-M49)*(0.5)),0))</f>
        <v>0</v>
      </c>
      <c r="N52" s="226" t="s">
        <v>195</v>
      </c>
      <c r="O52" s="124">
        <f>IF(M52&gt;0,(1000/M52)-10,0)</f>
        <v>0</v>
      </c>
      <c r="P52" s="228"/>
      <c r="Q52" s="228"/>
      <c r="R52" s="228"/>
      <c r="S52" s="228"/>
      <c r="W52" s="124"/>
      <c r="X52" s="146"/>
      <c r="Z52" s="226" t="s">
        <v>154</v>
      </c>
      <c r="AA52" s="146" t="s">
        <v>156</v>
      </c>
      <c r="AB52" s="146"/>
      <c r="AE52" s="294"/>
    </row>
    <row r="53" spans="1:31" ht="14.25" customHeight="1" thickBot="1">
      <c r="A53" s="872" t="s">
        <v>49</v>
      </c>
      <c r="B53" s="873"/>
      <c r="C53" s="74"/>
      <c r="D53" s="74"/>
      <c r="E53" s="823"/>
      <c r="F53" s="825"/>
      <c r="G53" s="178">
        <f>IF(M60="","",N60)</f>
      </c>
      <c r="H53" s="85"/>
      <c r="I53" s="84"/>
      <c r="J53" s="83"/>
      <c r="K53" s="85"/>
      <c r="L53" s="85"/>
      <c r="M53" s="80"/>
      <c r="N53" s="80"/>
      <c r="O53" s="85"/>
      <c r="P53" s="85"/>
      <c r="Q53" s="85"/>
      <c r="R53" s="101"/>
      <c r="S53" s="102"/>
      <c r="T53" s="153"/>
      <c r="U53" s="153"/>
      <c r="W53" s="124"/>
      <c r="X53" s="146"/>
      <c r="Y53" s="460" t="s">
        <v>159</v>
      </c>
      <c r="Z53" s="461" t="s">
        <v>157</v>
      </c>
      <c r="AA53" s="146"/>
      <c r="AB53" s="146"/>
      <c r="AC53" s="146"/>
      <c r="AD53" s="146"/>
      <c r="AE53" s="294"/>
    </row>
    <row r="54" spans="1:31" ht="15" customHeight="1" thickTop="1">
      <c r="A54" s="122"/>
      <c r="B54" s="135"/>
      <c r="C54" s="140"/>
      <c r="D54" s="140"/>
      <c r="E54" s="140"/>
      <c r="F54" s="140"/>
      <c r="G54" s="219"/>
      <c r="H54" s="124"/>
      <c r="I54" s="91"/>
      <c r="J54" s="90"/>
      <c r="K54" s="85"/>
      <c r="L54" s="85"/>
      <c r="M54" s="80"/>
      <c r="N54" s="80"/>
      <c r="O54" s="156"/>
      <c r="P54" s="156"/>
      <c r="Q54" s="156"/>
      <c r="R54" s="205" t="s">
        <v>54</v>
      </c>
      <c r="S54" s="206">
        <v>0.011</v>
      </c>
      <c r="W54" s="124"/>
      <c r="X54" s="146"/>
      <c r="Y54" s="146"/>
      <c r="Z54" s="146"/>
      <c r="AA54" s="146"/>
      <c r="AB54" s="146"/>
      <c r="AC54" s="146"/>
      <c r="AD54" s="146"/>
      <c r="AE54" s="146"/>
    </row>
    <row r="55" spans="1:31" ht="48.75" customHeight="1" thickBot="1">
      <c r="A55" s="89"/>
      <c r="B55" s="123" t="s">
        <v>53</v>
      </c>
      <c r="C55" s="123" t="s">
        <v>51</v>
      </c>
      <c r="D55" s="123" t="s">
        <v>58</v>
      </c>
      <c r="E55" s="177" t="s">
        <v>63</v>
      </c>
      <c r="F55" s="906" t="s">
        <v>59</v>
      </c>
      <c r="G55" s="907"/>
      <c r="H55" s="123" t="s">
        <v>62</v>
      </c>
      <c r="I55" s="91"/>
      <c r="J55" s="90"/>
      <c r="K55" s="85"/>
      <c r="L55" s="85"/>
      <c r="M55" s="105"/>
      <c r="N55" s="157"/>
      <c r="O55" s="158"/>
      <c r="P55" s="158"/>
      <c r="Q55" s="158"/>
      <c r="R55" s="207" t="s">
        <v>55</v>
      </c>
      <c r="S55" s="208">
        <v>0.24</v>
      </c>
      <c r="V55" s="132"/>
      <c r="W55" s="232"/>
      <c r="X55" s="146"/>
      <c r="Y55" s="146"/>
      <c r="Z55" s="226" t="s">
        <v>160</v>
      </c>
      <c r="AA55" s="146" t="s">
        <v>161</v>
      </c>
      <c r="AB55" s="146"/>
      <c r="AC55" s="146"/>
      <c r="AD55" s="146"/>
      <c r="AE55" s="146"/>
    </row>
    <row r="56" spans="1:31" ht="14.25" customHeight="1" thickTop="1">
      <c r="A56" s="210" t="s">
        <v>50</v>
      </c>
      <c r="B56" s="335"/>
      <c r="C56" s="335"/>
      <c r="D56" s="336"/>
      <c r="E56" s="337"/>
      <c r="F56" s="908"/>
      <c r="G56" s="909"/>
      <c r="H56" s="212">
        <f>IF(N63="","",B56/(3600*N63))</f>
      </c>
      <c r="I56" s="91"/>
      <c r="J56" s="90"/>
      <c r="K56" s="85"/>
      <c r="L56" s="85"/>
      <c r="M56" s="105"/>
      <c r="N56" s="157"/>
      <c r="O56" s="158"/>
      <c r="P56" s="158"/>
      <c r="Q56" s="158"/>
      <c r="R56" s="207" t="s">
        <v>17</v>
      </c>
      <c r="S56" s="208">
        <v>0.4</v>
      </c>
      <c r="V56" s="124"/>
      <c r="W56" s="124"/>
      <c r="X56" s="146"/>
      <c r="Y56" s="146"/>
      <c r="Z56" s="146"/>
      <c r="AA56" s="497" t="s">
        <v>136</v>
      </c>
      <c r="AB56" s="146"/>
      <c r="AC56" s="146"/>
      <c r="AD56" s="146"/>
      <c r="AE56" s="146"/>
    </row>
    <row r="57" spans="1:31" ht="14.25" customHeight="1">
      <c r="A57" s="210" t="s">
        <v>50</v>
      </c>
      <c r="B57" s="74"/>
      <c r="C57" s="74"/>
      <c r="D57" s="74"/>
      <c r="E57" s="78"/>
      <c r="F57" s="894"/>
      <c r="G57" s="895"/>
      <c r="H57" s="218">
        <f>IF(N64="","",B57/(3600*N64))</f>
      </c>
      <c r="I57" s="91"/>
      <c r="J57" s="90"/>
      <c r="K57" s="85"/>
      <c r="L57" s="85"/>
      <c r="M57" s="105">
        <f>IF(E50=R56,S56,IF(E50=R55,S55,S54))</f>
        <v>0.011</v>
      </c>
      <c r="N57" s="209" t="e">
        <f>(0.007*(M57*C50)^0.8)/(Summary!E26^0.5*D50^0.4)</f>
        <v>#DIV/0!</v>
      </c>
      <c r="O57" s="158"/>
      <c r="P57" s="158"/>
      <c r="Q57" s="158"/>
      <c r="R57" s="80"/>
      <c r="S57" s="80"/>
      <c r="X57" s="146"/>
      <c r="Y57" s="146"/>
      <c r="Z57" s="146"/>
      <c r="AA57" s="294" t="s">
        <v>162</v>
      </c>
      <c r="AB57" s="146"/>
      <c r="AC57" s="146"/>
      <c r="AD57" s="146"/>
      <c r="AE57" s="146"/>
    </row>
    <row r="58" spans="1:31" ht="14.25" customHeight="1" thickBot="1">
      <c r="A58" s="215"/>
      <c r="B58" s="140"/>
      <c r="C58" s="140"/>
      <c r="D58" s="140"/>
      <c r="E58" s="141"/>
      <c r="F58" s="141"/>
      <c r="G58" s="141"/>
      <c r="H58" s="136"/>
      <c r="I58" s="91"/>
      <c r="J58" s="90"/>
      <c r="K58" s="85"/>
      <c r="L58" s="85"/>
      <c r="M58" s="105">
        <f>IF(E51=R56,S56,IF(E51=R55,S55,S54))</f>
        <v>0.011</v>
      </c>
      <c r="N58" s="209" t="e">
        <f>(0.007*(M58*C51)^0.8)/(Summary!E26^0.5*D51^0.4)</f>
        <v>#DIV/0!</v>
      </c>
      <c r="O58" s="158"/>
      <c r="P58" s="158"/>
      <c r="Q58" s="158"/>
      <c r="R58" s="106" t="s">
        <v>56</v>
      </c>
      <c r="S58" s="80"/>
      <c r="X58" s="146"/>
      <c r="Y58" s="146"/>
      <c r="Z58" s="146"/>
      <c r="AA58" s="294" t="s">
        <v>163</v>
      </c>
      <c r="AB58" s="146"/>
      <c r="AC58" s="146"/>
      <c r="AD58" s="146"/>
      <c r="AE58" s="146"/>
    </row>
    <row r="59" spans="1:31" ht="19.5" thickBot="1">
      <c r="A59" s="89"/>
      <c r="B59" s="216" t="s">
        <v>65</v>
      </c>
      <c r="C59" s="217"/>
      <c r="D59" s="202">
        <f>IF((SUM(G50:G53)+SUM(H56:H57))&lt;0.0833,5,IF((SUM(G50:G53)+SUM(H56:H57))&lt;1&gt;0.0833,(SUM(G50:G53)+SUM(H56:H57))*60,(SUM(G50:G53)+SUM(H56:H57))))</f>
        <v>5</v>
      </c>
      <c r="E59" s="203" t="str">
        <f>IF((SUM(G50:G53)+SUM(H56:H57))&lt;1,"min","hrs")</f>
        <v>min</v>
      </c>
      <c r="F59" s="285" t="s">
        <v>135</v>
      </c>
      <c r="G59" s="145"/>
      <c r="H59" s="145"/>
      <c r="I59" s="190"/>
      <c r="J59" s="124"/>
      <c r="K59" s="85"/>
      <c r="L59" s="85"/>
      <c r="M59" s="80">
        <f>IF(E52=R59,16.1345*D52^0.5,IF(E52=R58,20.3282*D52^0.5,""))</f>
      </c>
      <c r="N59" s="107" t="e">
        <f>C52/(3600*M59)</f>
        <v>#VALUE!</v>
      </c>
      <c r="O59" s="108"/>
      <c r="P59" s="108"/>
      <c r="Q59" s="108"/>
      <c r="R59" s="114" t="s">
        <v>57</v>
      </c>
      <c r="S59" s="163"/>
      <c r="X59" s="146"/>
      <c r="Y59" s="146"/>
      <c r="Z59" s="146"/>
      <c r="AA59" s="496" t="s">
        <v>164</v>
      </c>
      <c r="AB59" s="146"/>
      <c r="AC59" s="146"/>
      <c r="AD59" s="146"/>
      <c r="AE59" s="146"/>
    </row>
    <row r="60" spans="1:31" ht="13.5" thickBot="1">
      <c r="A60" s="353"/>
      <c r="B60" s="93"/>
      <c r="C60" s="93"/>
      <c r="D60" s="93"/>
      <c r="E60" s="93"/>
      <c r="F60" s="93"/>
      <c r="G60" s="93"/>
      <c r="H60" s="93"/>
      <c r="I60" s="371"/>
      <c r="J60" s="90"/>
      <c r="K60" s="85"/>
      <c r="L60" s="85"/>
      <c r="M60" s="80">
        <f>IF(E53=R59,16.1345*D53^0.5,IF(E53=R58,20.3282*D53^0.5,""))</f>
      </c>
      <c r="N60" s="107" t="e">
        <f>C53/(3600*M60)</f>
        <v>#VALUE!</v>
      </c>
      <c r="O60" s="108"/>
      <c r="P60" s="108"/>
      <c r="Q60" s="108"/>
      <c r="R60" s="80"/>
      <c r="S60" s="163"/>
      <c r="T60" s="234"/>
      <c r="U60" s="234"/>
      <c r="X60" s="146"/>
      <c r="AE60" s="146"/>
    </row>
    <row r="61" spans="1:31" ht="12.75">
      <c r="A61" s="147">
        <f>IF(K62&gt;0,"Notes:","")</f>
      </c>
      <c r="B61" s="124"/>
      <c r="C61" s="124"/>
      <c r="D61" s="133"/>
      <c r="E61" s="871"/>
      <c r="F61" s="871"/>
      <c r="G61" s="124"/>
      <c r="H61" s="124"/>
      <c r="I61" s="90"/>
      <c r="J61" s="90"/>
      <c r="K61" s="85"/>
      <c r="L61" s="85"/>
      <c r="M61" s="80"/>
      <c r="N61" s="107"/>
      <c r="O61" s="108"/>
      <c r="P61" s="108"/>
      <c r="Q61" s="108"/>
      <c r="R61" s="80"/>
      <c r="S61" s="163"/>
      <c r="T61" s="236"/>
      <c r="U61" s="236"/>
      <c r="V61" s="124"/>
      <c r="W61" s="124"/>
      <c r="X61" s="146"/>
      <c r="AE61" s="146"/>
    </row>
    <row r="62" spans="1:31" ht="15.75">
      <c r="A62" s="181">
        <f>IF(D59&lt;'Pre-Development'!D48,"Proposed Tc is shorter than Pre-development.  Increasing proposed Tc will lower peak flow.","")</f>
      </c>
      <c r="B62" s="94"/>
      <c r="C62" s="143"/>
      <c r="D62" s="144"/>
      <c r="E62" s="142"/>
      <c r="F62" s="145"/>
      <c r="G62" s="145"/>
      <c r="H62" s="145"/>
      <c r="I62" s="124"/>
      <c r="J62" s="124"/>
      <c r="K62" s="85">
        <f>IF(A62="",0,1)</f>
        <v>0</v>
      </c>
      <c r="L62" s="85"/>
      <c r="M62" s="80"/>
      <c r="N62" s="109"/>
      <c r="O62" s="108"/>
      <c r="P62" s="108"/>
      <c r="Q62" s="108"/>
      <c r="R62" s="162"/>
      <c r="S62" s="80"/>
      <c r="T62" s="235"/>
      <c r="U62" s="235"/>
      <c r="V62" s="124"/>
      <c r="W62" s="124"/>
      <c r="X62" s="146"/>
      <c r="AE62" s="146"/>
    </row>
    <row r="63" spans="1:31" ht="12.75">
      <c r="A63" s="214">
        <f>IF(K63=0,"","Warnings!!!")</f>
      </c>
      <c r="B63" s="124"/>
      <c r="C63" s="124"/>
      <c r="D63" s="124"/>
      <c r="E63" s="124"/>
      <c r="F63" s="124"/>
      <c r="G63" s="124"/>
      <c r="H63" s="184"/>
      <c r="I63" s="124"/>
      <c r="J63" s="124"/>
      <c r="K63" s="85">
        <f>SUM(K64:K65)</f>
        <v>0</v>
      </c>
      <c r="L63" s="85"/>
      <c r="M63" s="80" t="e">
        <f>(E56/F56)</f>
        <v>#DIV/0!</v>
      </c>
      <c r="N63" s="109">
        <f>IF(B56="","",(1.49*(M63^(2/3))*(C56^(1/2)))/D56)</f>
      </c>
      <c r="O63" s="108"/>
      <c r="P63" s="108"/>
      <c r="Q63" s="108"/>
      <c r="R63" s="80"/>
      <c r="S63" s="80"/>
      <c r="T63" s="132"/>
      <c r="U63" s="132"/>
      <c r="V63" s="266"/>
      <c r="W63" s="124"/>
      <c r="X63" s="146"/>
      <c r="AE63" s="146"/>
    </row>
    <row r="64" spans="1:31" ht="12.75">
      <c r="A64" s="138">
        <f>IF(F37='Pre-Development'!F25,"","Post-Development Site Area does not match Pre-Development Site Area!!")</f>
      </c>
      <c r="B64" s="124"/>
      <c r="C64" s="124"/>
      <c r="D64" s="124"/>
      <c r="E64" s="124"/>
      <c r="F64" s="124"/>
      <c r="G64" s="124"/>
      <c r="H64" s="124"/>
      <c r="I64" s="124"/>
      <c r="J64" s="124"/>
      <c r="K64" s="85">
        <f>IF(A64="",0,1)</f>
        <v>0</v>
      </c>
      <c r="L64" s="85"/>
      <c r="M64" s="80" t="e">
        <f>(E57/F57)</f>
        <v>#DIV/0!</v>
      </c>
      <c r="N64" s="109">
        <f>IF(B57="","",(1.49*(M64^(2/3))*(C57^(1/2)))/D57)</f>
      </c>
      <c r="O64" s="80"/>
      <c r="P64" s="80"/>
      <c r="Q64" s="80"/>
      <c r="R64" s="80"/>
      <c r="S64" s="80"/>
      <c r="T64" s="132"/>
      <c r="U64" s="132"/>
      <c r="V64" s="267"/>
      <c r="W64" s="124"/>
      <c r="X64" s="146"/>
      <c r="AE64" s="146"/>
    </row>
    <row r="65" spans="1:31" ht="12.75">
      <c r="A65" s="905">
        <f>IF(AND(COUNTIF('Storage Devices'!D8:D27,"Permeable Pavement")&gt;0,COUNTIF('Post-Development'!C23:D36,"Pervious Pavement")&gt;0),"Pervious Pavement is used as both a land use and a storage device, storage device should only be used if additional volume is provided in excess if DWQ reuirements.","")</f>
      </c>
      <c r="B65" s="905"/>
      <c r="C65" s="905"/>
      <c r="D65" s="905"/>
      <c r="E65" s="905"/>
      <c r="F65" s="905"/>
      <c r="G65" s="905"/>
      <c r="H65" s="905"/>
      <c r="I65" s="905"/>
      <c r="J65" s="533"/>
      <c r="K65" s="6">
        <f>IF(A65="",0,1)</f>
        <v>0</v>
      </c>
      <c r="L65" s="6"/>
      <c r="M65" s="6"/>
      <c r="N65" s="13"/>
      <c r="O65" s="13"/>
      <c r="P65" s="13"/>
      <c r="Q65" s="6"/>
      <c r="R65" s="6"/>
      <c r="S65" s="6"/>
      <c r="T65" s="6"/>
      <c r="U65" s="6"/>
      <c r="V65" s="6"/>
      <c r="W65" s="6"/>
      <c r="X65" s="146"/>
      <c r="AE65" s="146"/>
    </row>
    <row r="66" spans="1:24" ht="12.75">
      <c r="A66" s="905"/>
      <c r="B66" s="905"/>
      <c r="C66" s="905"/>
      <c r="D66" s="905"/>
      <c r="E66" s="905"/>
      <c r="F66" s="905"/>
      <c r="G66" s="905"/>
      <c r="H66" s="905"/>
      <c r="I66" s="905"/>
      <c r="J66" s="533"/>
      <c r="K66" s="148"/>
      <c r="L66" s="85"/>
      <c r="M66" s="80"/>
      <c r="N66" s="109">
        <f>IF(D50&gt;1,1,IF(D51&gt;1,1,IF(D52&gt;1,1,IF(D53&gt;1,1,IF(C56&gt;1,1,IF(C57&gt;1,1,0))))))</f>
        <v>0</v>
      </c>
      <c r="O66" s="110"/>
      <c r="P66" s="110"/>
      <c r="Q66" s="110"/>
      <c r="R66" s="80"/>
      <c r="S66" s="80"/>
      <c r="T66" s="132"/>
      <c r="U66" s="132"/>
      <c r="V66" s="267"/>
      <c r="W66" s="124"/>
      <c r="X66" s="146"/>
    </row>
    <row r="67" spans="1:24" ht="12.75">
      <c r="A67" s="80"/>
      <c r="B67" s="80"/>
      <c r="C67" s="80"/>
      <c r="D67" s="80"/>
      <c r="E67" s="80"/>
      <c r="F67" s="80"/>
      <c r="G67" s="80"/>
      <c r="H67" s="80"/>
      <c r="I67" s="80"/>
      <c r="J67" s="80"/>
      <c r="L67" s="85"/>
      <c r="M67" s="80"/>
      <c r="N67" s="109"/>
      <c r="O67" s="110"/>
      <c r="P67" s="110"/>
      <c r="Q67" s="110"/>
      <c r="R67" s="80"/>
      <c r="S67" s="80"/>
      <c r="T67" s="132"/>
      <c r="U67" s="132"/>
      <c r="V67" s="267"/>
      <c r="W67" s="124"/>
      <c r="X67" s="146"/>
    </row>
    <row r="68" spans="1:24" ht="12.75">
      <c r="A68" s="80"/>
      <c r="B68" s="80"/>
      <c r="C68" s="80"/>
      <c r="D68" s="80"/>
      <c r="E68" s="80"/>
      <c r="F68" s="80"/>
      <c r="G68" s="80"/>
      <c r="H68" s="80"/>
      <c r="I68" s="80"/>
      <c r="J68" s="80"/>
      <c r="L68" s="85"/>
      <c r="M68" s="80"/>
      <c r="N68" s="109"/>
      <c r="O68" s="110"/>
      <c r="P68" s="110"/>
      <c r="Q68" s="110"/>
      <c r="R68" s="80"/>
      <c r="S68" s="80"/>
      <c r="T68" s="132"/>
      <c r="U68" s="132"/>
      <c r="V68" s="267"/>
      <c r="W68" s="124"/>
      <c r="X68" s="146"/>
    </row>
    <row r="69" spans="12:24" ht="12.75">
      <c r="L69" s="85"/>
      <c r="M69" s="80"/>
      <c r="N69" s="109"/>
      <c r="O69" s="110"/>
      <c r="P69" s="110"/>
      <c r="Q69" s="110"/>
      <c r="R69" s="80"/>
      <c r="S69" s="80"/>
      <c r="T69" s="132"/>
      <c r="U69" s="132"/>
      <c r="V69" s="267"/>
      <c r="W69" s="124"/>
      <c r="X69" s="146"/>
    </row>
    <row r="70" spans="12:24" ht="12.75">
      <c r="L70" s="124"/>
      <c r="M70" s="124"/>
      <c r="N70" s="124"/>
      <c r="O70" s="236"/>
      <c r="P70" s="236"/>
      <c r="Q70" s="236"/>
      <c r="R70" s="236"/>
      <c r="S70" s="236"/>
      <c r="T70" s="132"/>
      <c r="U70" s="132"/>
      <c r="V70" s="267"/>
      <c r="W70" s="124"/>
      <c r="X70" s="146"/>
    </row>
    <row r="71" spans="12:24" ht="12.75">
      <c r="L71" s="124"/>
      <c r="M71" s="124"/>
      <c r="N71" s="124"/>
      <c r="O71" s="236"/>
      <c r="P71" s="236"/>
      <c r="Q71" s="236"/>
      <c r="R71" s="236"/>
      <c r="S71" s="236"/>
      <c r="T71" s="132"/>
      <c r="U71" s="132"/>
      <c r="V71" s="267"/>
      <c r="W71" s="124"/>
      <c r="X71" s="146"/>
    </row>
    <row r="72" spans="12:24" ht="12.75">
      <c r="L72" s="124"/>
      <c r="M72" s="124"/>
      <c r="N72" s="124"/>
      <c r="O72" s="236"/>
      <c r="P72" s="236"/>
      <c r="Q72" s="236"/>
      <c r="R72" s="236"/>
      <c r="S72" s="236"/>
      <c r="T72" s="132"/>
      <c r="U72" s="132"/>
      <c r="V72" s="267"/>
      <c r="W72" s="124"/>
      <c r="X72" s="146"/>
    </row>
    <row r="73" spans="1:24" ht="12.75">
      <c r="A73" s="80"/>
      <c r="B73" s="80"/>
      <c r="C73" s="80"/>
      <c r="D73" s="80"/>
      <c r="E73" s="80"/>
      <c r="F73" s="80"/>
      <c r="G73" s="80"/>
      <c r="H73" s="80"/>
      <c r="I73" s="80"/>
      <c r="J73" s="80"/>
      <c r="L73" s="124"/>
      <c r="M73" s="124"/>
      <c r="N73" s="124"/>
      <c r="O73" s="236"/>
      <c r="P73" s="236"/>
      <c r="Q73" s="236"/>
      <c r="R73" s="236"/>
      <c r="S73" s="236"/>
      <c r="T73" s="132"/>
      <c r="U73" s="132"/>
      <c r="V73" s="267"/>
      <c r="W73" s="124"/>
      <c r="X73" s="146"/>
    </row>
    <row r="74" spans="1:31" ht="12.75">
      <c r="A74" s="80"/>
      <c r="B74" s="80"/>
      <c r="C74" s="80"/>
      <c r="D74" s="80"/>
      <c r="E74" s="80"/>
      <c r="F74" s="80"/>
      <c r="G74" s="80"/>
      <c r="H74" s="80"/>
      <c r="I74" s="80"/>
      <c r="J74" s="80"/>
      <c r="L74" s="124"/>
      <c r="M74" s="124"/>
      <c r="N74" s="124"/>
      <c r="O74" s="236"/>
      <c r="P74" s="236"/>
      <c r="Q74" s="236"/>
      <c r="R74" s="236"/>
      <c r="S74" s="236"/>
      <c r="T74" s="132"/>
      <c r="U74" s="132"/>
      <c r="V74" s="267"/>
      <c r="W74" s="124"/>
      <c r="X74" s="146"/>
      <c r="AE74" s="146"/>
    </row>
    <row r="75" spans="1:31" ht="12.75">
      <c r="A75" s="80"/>
      <c r="B75" s="80"/>
      <c r="C75" s="80"/>
      <c r="D75" s="80"/>
      <c r="E75" s="80"/>
      <c r="F75" s="80"/>
      <c r="G75" s="80"/>
      <c r="H75" s="80"/>
      <c r="I75" s="80"/>
      <c r="J75" s="80"/>
      <c r="L75" s="124"/>
      <c r="M75" s="124"/>
      <c r="N75" s="124"/>
      <c r="O75" s="236"/>
      <c r="P75" s="236"/>
      <c r="Q75" s="236"/>
      <c r="R75" s="236"/>
      <c r="S75" s="236"/>
      <c r="T75" s="132"/>
      <c r="U75" s="132"/>
      <c r="V75" s="267"/>
      <c r="W75" s="124"/>
      <c r="X75" s="146"/>
      <c r="Y75" s="146"/>
      <c r="Z75" s="146"/>
      <c r="AA75" s="146"/>
      <c r="AB75" s="146"/>
      <c r="AC75" s="146"/>
      <c r="AD75" s="146"/>
      <c r="AE75" s="146"/>
    </row>
    <row r="76" spans="1:31" ht="12.75">
      <c r="A76" s="80"/>
      <c r="B76" s="80"/>
      <c r="C76" s="80"/>
      <c r="D76" s="80"/>
      <c r="E76" s="80"/>
      <c r="F76" s="80"/>
      <c r="G76" s="80"/>
      <c r="H76" s="80"/>
      <c r="I76" s="80"/>
      <c r="J76" s="80"/>
      <c r="L76" s="124"/>
      <c r="M76" s="124"/>
      <c r="N76" s="124"/>
      <c r="O76" s="236"/>
      <c r="P76" s="236"/>
      <c r="Q76" s="236"/>
      <c r="R76" s="236"/>
      <c r="S76" s="236"/>
      <c r="T76" s="132"/>
      <c r="U76" s="132"/>
      <c r="V76" s="267"/>
      <c r="W76" s="124"/>
      <c r="X76" s="146"/>
      <c r="Y76" s="146"/>
      <c r="Z76" s="146"/>
      <c r="AA76" s="146"/>
      <c r="AB76" s="146"/>
      <c r="AC76" s="146"/>
      <c r="AD76" s="146"/>
      <c r="AE76" s="146"/>
    </row>
    <row r="77" spans="1:31" ht="12.75">
      <c r="A77" s="80"/>
      <c r="B77" s="80"/>
      <c r="C77" s="80"/>
      <c r="D77" s="80"/>
      <c r="E77" s="80"/>
      <c r="F77" s="80"/>
      <c r="G77" s="80"/>
      <c r="H77" s="80"/>
      <c r="I77" s="80"/>
      <c r="J77" s="80"/>
      <c r="L77" s="124"/>
      <c r="M77" s="124"/>
      <c r="N77" s="124"/>
      <c r="O77" s="236"/>
      <c r="P77" s="236"/>
      <c r="Q77" s="236"/>
      <c r="R77" s="236"/>
      <c r="S77" s="236"/>
      <c r="T77" s="132"/>
      <c r="U77" s="132"/>
      <c r="V77" s="267"/>
      <c r="W77" s="124"/>
      <c r="X77" s="146"/>
      <c r="AE77" s="146"/>
    </row>
    <row r="78" spans="1:24" ht="12.75">
      <c r="A78" s="80"/>
      <c r="B78" s="80"/>
      <c r="C78" s="80"/>
      <c r="D78" s="80"/>
      <c r="E78" s="80"/>
      <c r="F78" s="80"/>
      <c r="G78" s="80"/>
      <c r="H78" s="80"/>
      <c r="I78" s="80"/>
      <c r="J78" s="80"/>
      <c r="L78" s="124"/>
      <c r="M78" s="124"/>
      <c r="N78" s="124"/>
      <c r="O78" s="236"/>
      <c r="P78" s="236"/>
      <c r="Q78" s="236"/>
      <c r="R78" s="236"/>
      <c r="S78" s="236"/>
      <c r="T78" s="132"/>
      <c r="U78" s="132"/>
      <c r="V78" s="267"/>
      <c r="W78" s="124"/>
      <c r="X78" s="146"/>
    </row>
    <row r="79" spans="1:24" ht="12.75">
      <c r="A79" s="80"/>
      <c r="B79" s="80"/>
      <c r="C79" s="80"/>
      <c r="D79" s="80"/>
      <c r="E79" s="80"/>
      <c r="F79" s="80"/>
      <c r="G79" s="80"/>
      <c r="H79" s="80"/>
      <c r="I79" s="80"/>
      <c r="J79" s="80"/>
      <c r="L79" s="124"/>
      <c r="M79" s="124"/>
      <c r="N79" s="124"/>
      <c r="O79" s="237"/>
      <c r="P79" s="237"/>
      <c r="Q79" s="237"/>
      <c r="R79" s="237"/>
      <c r="S79" s="237"/>
      <c r="T79" s="124"/>
      <c r="U79" s="124"/>
      <c r="V79" s="124"/>
      <c r="W79" s="124"/>
      <c r="X79" s="146"/>
    </row>
    <row r="80" spans="1:24" ht="12.75">
      <c r="A80" s="80"/>
      <c r="B80" s="80"/>
      <c r="C80" s="80"/>
      <c r="D80" s="80"/>
      <c r="E80" s="80"/>
      <c r="F80" s="80"/>
      <c r="G80" s="80"/>
      <c r="H80" s="80"/>
      <c r="I80" s="80"/>
      <c r="J80" s="80"/>
      <c r="L80" s="124"/>
      <c r="M80" s="124"/>
      <c r="N80" s="124"/>
      <c r="O80" s="236"/>
      <c r="P80" s="236"/>
      <c r="Q80" s="236"/>
      <c r="R80" s="236"/>
      <c r="S80" s="124"/>
      <c r="T80" s="124"/>
      <c r="U80" s="124"/>
      <c r="V80" s="124"/>
      <c r="W80" s="124"/>
      <c r="X80" s="146"/>
    </row>
    <row r="81" spans="1:31" ht="12.75">
      <c r="A81" s="80"/>
      <c r="B81" s="80"/>
      <c r="C81" s="80"/>
      <c r="D81" s="80"/>
      <c r="E81" s="80"/>
      <c r="F81" s="80"/>
      <c r="G81" s="80"/>
      <c r="H81" s="80"/>
      <c r="I81" s="80"/>
      <c r="J81" s="80"/>
      <c r="L81" s="124"/>
      <c r="M81" s="124"/>
      <c r="N81" s="124"/>
      <c r="O81" s="237"/>
      <c r="P81" s="237"/>
      <c r="Q81" s="237"/>
      <c r="R81" s="237"/>
      <c r="S81" s="124"/>
      <c r="T81" s="124"/>
      <c r="U81" s="124"/>
      <c r="V81" s="124"/>
      <c r="W81" s="124"/>
      <c r="X81" s="146"/>
      <c r="AE81" s="146"/>
    </row>
    <row r="82" spans="1:31" ht="12.75">
      <c r="A82" s="80"/>
      <c r="B82" s="80"/>
      <c r="C82" s="80"/>
      <c r="D82" s="80"/>
      <c r="E82" s="80"/>
      <c r="F82" s="80"/>
      <c r="G82" s="80"/>
      <c r="H82" s="80"/>
      <c r="I82" s="80"/>
      <c r="J82" s="80"/>
      <c r="L82" s="124"/>
      <c r="M82" s="124"/>
      <c r="N82" s="268"/>
      <c r="O82" s="269"/>
      <c r="P82" s="269"/>
      <c r="Q82" s="269"/>
      <c r="R82" s="269"/>
      <c r="S82" s="124"/>
      <c r="T82" s="124"/>
      <c r="U82" s="124"/>
      <c r="V82" s="124"/>
      <c r="W82" s="124"/>
      <c r="X82" s="146"/>
      <c r="AE82" s="146"/>
    </row>
    <row r="83" spans="1:10" ht="12.75">
      <c r="A83" s="80"/>
      <c r="B83" s="80"/>
      <c r="C83" s="80"/>
      <c r="D83" s="80"/>
      <c r="E83" s="80"/>
      <c r="F83" s="80"/>
      <c r="G83" s="80"/>
      <c r="H83" s="80"/>
      <c r="I83" s="80"/>
      <c r="J83" s="80"/>
    </row>
    <row r="84" spans="1:10" ht="12.75">
      <c r="A84" s="80"/>
      <c r="B84" s="80"/>
      <c r="C84" s="80"/>
      <c r="D84" s="80"/>
      <c r="E84" s="80"/>
      <c r="F84" s="80"/>
      <c r="G84" s="80"/>
      <c r="H84" s="80"/>
      <c r="I84" s="80"/>
      <c r="J84" s="80"/>
    </row>
    <row r="85" spans="1:10" ht="12.75">
      <c r="A85" s="80"/>
      <c r="B85" s="80"/>
      <c r="C85" s="80"/>
      <c r="D85" s="80"/>
      <c r="E85" s="80"/>
      <c r="F85" s="80"/>
      <c r="G85" s="80"/>
      <c r="H85" s="80"/>
      <c r="I85" s="80"/>
      <c r="J85" s="80"/>
    </row>
    <row r="86" spans="1:10" ht="12.75">
      <c r="A86" s="80"/>
      <c r="B86" s="80"/>
      <c r="C86" s="80"/>
      <c r="D86" s="80"/>
      <c r="E86" s="80"/>
      <c r="F86" s="80"/>
      <c r="G86" s="80"/>
      <c r="H86" s="80"/>
      <c r="I86" s="80"/>
      <c r="J86" s="80"/>
    </row>
    <row r="87" spans="1:10" ht="12.75">
      <c r="A87" s="80"/>
      <c r="B87" s="80"/>
      <c r="C87" s="80"/>
      <c r="D87" s="80"/>
      <c r="E87" s="80"/>
      <c r="F87" s="80"/>
      <c r="G87" s="80"/>
      <c r="H87" s="80"/>
      <c r="I87" s="80"/>
      <c r="J87" s="80"/>
    </row>
    <row r="88" spans="1:10" ht="12.75">
      <c r="A88" s="80"/>
      <c r="B88" s="80"/>
      <c r="C88" s="80"/>
      <c r="D88" s="80"/>
      <c r="E88" s="80"/>
      <c r="F88" s="80"/>
      <c r="G88" s="80"/>
      <c r="H88" s="80"/>
      <c r="I88" s="80"/>
      <c r="J88" s="80"/>
    </row>
    <row r="89" spans="1:10" ht="12.75">
      <c r="A89" s="80"/>
      <c r="B89" s="80"/>
      <c r="C89" s="80"/>
      <c r="D89" s="80"/>
      <c r="E89" s="80"/>
      <c r="F89" s="80"/>
      <c r="G89" s="80"/>
      <c r="H89" s="80"/>
      <c r="I89" s="80"/>
      <c r="J89" s="80"/>
    </row>
    <row r="90" spans="1:10" ht="12.75">
      <c r="A90" s="80"/>
      <c r="B90" s="80"/>
      <c r="C90" s="80"/>
      <c r="D90" s="80"/>
      <c r="E90" s="80"/>
      <c r="F90" s="80"/>
      <c r="G90" s="80"/>
      <c r="H90" s="80"/>
      <c r="I90" s="80"/>
      <c r="J90" s="80"/>
    </row>
    <row r="91" spans="1:10" ht="12.75">
      <c r="A91" s="80"/>
      <c r="B91" s="80"/>
      <c r="C91" s="80"/>
      <c r="D91" s="80"/>
      <c r="E91" s="80"/>
      <c r="F91" s="80"/>
      <c r="G91" s="80"/>
      <c r="H91" s="80"/>
      <c r="I91" s="80"/>
      <c r="J91" s="80"/>
    </row>
    <row r="92" spans="1:10" ht="12.75">
      <c r="A92" s="80"/>
      <c r="B92" s="80"/>
      <c r="C92" s="80"/>
      <c r="D92" s="80"/>
      <c r="E92" s="80"/>
      <c r="F92" s="80"/>
      <c r="G92" s="80"/>
      <c r="H92" s="80"/>
      <c r="I92" s="80"/>
      <c r="J92" s="80"/>
    </row>
    <row r="93" spans="1:10" ht="12.75">
      <c r="A93" s="80"/>
      <c r="B93" s="80"/>
      <c r="C93" s="80"/>
      <c r="D93" s="80"/>
      <c r="E93" s="80"/>
      <c r="F93" s="80"/>
      <c r="G93" s="80"/>
      <c r="H93" s="80"/>
      <c r="I93" s="80"/>
      <c r="J93" s="80"/>
    </row>
    <row r="94" spans="1:10" ht="12.75">
      <c r="A94" s="80"/>
      <c r="B94" s="80"/>
      <c r="C94" s="80"/>
      <c r="D94" s="80"/>
      <c r="E94" s="80"/>
      <c r="F94" s="80"/>
      <c r="G94" s="80"/>
      <c r="H94" s="80"/>
      <c r="I94" s="80"/>
      <c r="J94" s="80"/>
    </row>
    <row r="95" spans="1:10" ht="12.75">
      <c r="A95" s="80"/>
      <c r="B95" s="80"/>
      <c r="C95" s="80"/>
      <c r="D95" s="80"/>
      <c r="E95" s="80"/>
      <c r="F95" s="80"/>
      <c r="G95" s="80"/>
      <c r="H95" s="80"/>
      <c r="I95" s="80"/>
      <c r="J95" s="80"/>
    </row>
    <row r="96" spans="1:10" ht="12.75">
      <c r="A96" s="80"/>
      <c r="B96" s="80"/>
      <c r="C96" s="80"/>
      <c r="D96" s="80"/>
      <c r="E96" s="80"/>
      <c r="F96" s="80"/>
      <c r="G96" s="80"/>
      <c r="H96" s="80"/>
      <c r="I96" s="80"/>
      <c r="J96" s="80"/>
    </row>
    <row r="97" spans="1:10" ht="12.75">
      <c r="A97" s="80"/>
      <c r="B97" s="80"/>
      <c r="C97" s="80"/>
      <c r="D97" s="80"/>
      <c r="E97" s="80"/>
      <c r="F97" s="80"/>
      <c r="G97" s="80"/>
      <c r="H97" s="80"/>
      <c r="I97" s="80"/>
      <c r="J97" s="80"/>
    </row>
    <row r="98" spans="1:10" ht="12.75">
      <c r="A98" s="80"/>
      <c r="B98" s="80"/>
      <c r="C98" s="80"/>
      <c r="D98" s="80"/>
      <c r="E98" s="80"/>
      <c r="F98" s="80"/>
      <c r="G98" s="80"/>
      <c r="H98" s="80"/>
      <c r="I98" s="80"/>
      <c r="J98" s="80"/>
    </row>
    <row r="99" spans="1:10" ht="12.75">
      <c r="A99" s="80"/>
      <c r="B99" s="80"/>
      <c r="C99" s="80"/>
      <c r="D99" s="80"/>
      <c r="E99" s="80"/>
      <c r="F99" s="80"/>
      <c r="G99" s="80"/>
      <c r="H99" s="80"/>
      <c r="I99" s="80"/>
      <c r="J99" s="80"/>
    </row>
    <row r="100" spans="1:10" ht="12.75">
      <c r="A100" s="80"/>
      <c r="B100" s="80"/>
      <c r="C100" s="80"/>
      <c r="D100" s="80"/>
      <c r="E100" s="80"/>
      <c r="F100" s="80"/>
      <c r="G100" s="80"/>
      <c r="H100" s="80"/>
      <c r="I100" s="80"/>
      <c r="J100" s="80"/>
    </row>
    <row r="101" spans="1:10" ht="12.75">
      <c r="A101" s="80"/>
      <c r="B101" s="80"/>
      <c r="C101" s="80"/>
      <c r="D101" s="80"/>
      <c r="E101" s="80"/>
      <c r="F101" s="80"/>
      <c r="G101" s="80"/>
      <c r="H101" s="80"/>
      <c r="I101" s="80"/>
      <c r="J101" s="80"/>
    </row>
    <row r="102" spans="1:10" ht="12.75">
      <c r="A102" s="80"/>
      <c r="B102" s="80"/>
      <c r="C102" s="80"/>
      <c r="D102" s="80"/>
      <c r="E102" s="80"/>
      <c r="F102" s="80"/>
      <c r="G102" s="80"/>
      <c r="H102" s="80"/>
      <c r="I102" s="80"/>
      <c r="J102" s="80"/>
    </row>
    <row r="103" spans="1:10" ht="12.75">
      <c r="A103" s="80"/>
      <c r="B103" s="80"/>
      <c r="C103" s="80"/>
      <c r="D103" s="80"/>
      <c r="E103" s="80"/>
      <c r="F103" s="80"/>
      <c r="G103" s="80"/>
      <c r="H103" s="80"/>
      <c r="I103" s="80"/>
      <c r="J103" s="80"/>
    </row>
    <row r="104" spans="1:10" ht="12.75">
      <c r="A104" s="80"/>
      <c r="B104" s="80"/>
      <c r="C104" s="80"/>
      <c r="D104" s="80"/>
      <c r="E104" s="80"/>
      <c r="F104" s="80"/>
      <c r="G104" s="80"/>
      <c r="H104" s="80"/>
      <c r="I104" s="80"/>
      <c r="J104" s="80"/>
    </row>
    <row r="105" spans="1:10" ht="12.75">
      <c r="A105" s="80"/>
      <c r="B105" s="80"/>
      <c r="C105" s="80"/>
      <c r="D105" s="80"/>
      <c r="E105" s="80"/>
      <c r="F105" s="80"/>
      <c r="G105" s="80"/>
      <c r="H105" s="80"/>
      <c r="I105" s="80"/>
      <c r="J105" s="80"/>
    </row>
    <row r="106" spans="1:10" ht="12.75">
      <c r="A106" s="80"/>
      <c r="B106" s="80"/>
      <c r="C106" s="80"/>
      <c r="D106" s="80"/>
      <c r="E106" s="80"/>
      <c r="F106" s="80"/>
      <c r="G106" s="80"/>
      <c r="H106" s="80"/>
      <c r="I106" s="80"/>
      <c r="J106" s="80"/>
    </row>
    <row r="107" spans="1:10" ht="12.75">
      <c r="A107" s="80"/>
      <c r="B107" s="80"/>
      <c r="C107" s="80"/>
      <c r="D107" s="80"/>
      <c r="E107" s="80"/>
      <c r="F107" s="80"/>
      <c r="G107" s="80"/>
      <c r="H107" s="80"/>
      <c r="I107" s="80"/>
      <c r="J107" s="80"/>
    </row>
    <row r="108" spans="1:10" ht="12.75">
      <c r="A108" s="80"/>
      <c r="B108" s="80"/>
      <c r="C108" s="80"/>
      <c r="D108" s="80"/>
      <c r="E108" s="80"/>
      <c r="F108" s="80"/>
      <c r="G108" s="80"/>
      <c r="H108" s="80"/>
      <c r="I108" s="80"/>
      <c r="J108" s="80"/>
    </row>
    <row r="109" spans="1:10" ht="12.75">
      <c r="A109" s="80"/>
      <c r="B109" s="80"/>
      <c r="C109" s="80"/>
      <c r="D109" s="80"/>
      <c r="E109" s="80"/>
      <c r="F109" s="80"/>
      <c r="G109" s="80"/>
      <c r="H109" s="80"/>
      <c r="I109" s="80"/>
      <c r="J109" s="80"/>
    </row>
    <row r="110" spans="1:10" ht="12.75">
      <c r="A110" s="80"/>
      <c r="B110" s="80"/>
      <c r="C110" s="80"/>
      <c r="D110" s="80"/>
      <c r="E110" s="80"/>
      <c r="F110" s="80"/>
      <c r="G110" s="80"/>
      <c r="H110" s="80"/>
      <c r="I110" s="80"/>
      <c r="J110" s="80"/>
    </row>
    <row r="111" spans="1:10" ht="12.75">
      <c r="A111" s="80"/>
      <c r="B111" s="80"/>
      <c r="C111" s="80"/>
      <c r="D111" s="80"/>
      <c r="E111" s="80"/>
      <c r="F111" s="80"/>
      <c r="G111" s="80"/>
      <c r="H111" s="80"/>
      <c r="I111" s="80"/>
      <c r="J111" s="80"/>
    </row>
    <row r="112" spans="1:10" ht="12.75">
      <c r="A112" s="80"/>
      <c r="B112" s="80"/>
      <c r="C112" s="80"/>
      <c r="D112" s="80"/>
      <c r="E112" s="80"/>
      <c r="F112" s="80"/>
      <c r="G112" s="80"/>
      <c r="H112" s="80"/>
      <c r="I112" s="80"/>
      <c r="J112" s="80"/>
    </row>
    <row r="113" spans="1:10" ht="12.75">
      <c r="A113" s="80"/>
      <c r="B113" s="80"/>
      <c r="C113" s="80"/>
      <c r="D113" s="80"/>
      <c r="E113" s="80"/>
      <c r="F113" s="80"/>
      <c r="G113" s="80"/>
      <c r="H113" s="80"/>
      <c r="I113" s="80"/>
      <c r="J113" s="80"/>
    </row>
    <row r="114" spans="1:10" ht="12.75">
      <c r="A114" s="80"/>
      <c r="B114" s="80"/>
      <c r="C114" s="80"/>
      <c r="D114" s="80"/>
      <c r="E114" s="80"/>
      <c r="F114" s="80"/>
      <c r="G114" s="80"/>
      <c r="H114" s="80"/>
      <c r="I114" s="80"/>
      <c r="J114" s="80"/>
    </row>
    <row r="115" spans="1:10" ht="12.75">
      <c r="A115" s="80"/>
      <c r="B115" s="80"/>
      <c r="C115" s="80"/>
      <c r="D115" s="80"/>
      <c r="E115" s="80"/>
      <c r="F115" s="80"/>
      <c r="G115" s="80"/>
      <c r="H115" s="80"/>
      <c r="I115" s="80"/>
      <c r="J115" s="80"/>
    </row>
    <row r="116" spans="1:10" ht="12.75">
      <c r="A116" s="80"/>
      <c r="B116" s="80"/>
      <c r="C116" s="80"/>
      <c r="D116" s="80"/>
      <c r="E116" s="80"/>
      <c r="F116" s="80"/>
      <c r="G116" s="80"/>
      <c r="H116" s="80"/>
      <c r="I116" s="80"/>
      <c r="J116" s="80"/>
    </row>
    <row r="117" spans="1:10" ht="12.75">
      <c r="A117" s="80"/>
      <c r="B117" s="80"/>
      <c r="C117" s="80"/>
      <c r="D117" s="80"/>
      <c r="E117" s="80"/>
      <c r="F117" s="80"/>
      <c r="G117" s="80"/>
      <c r="H117" s="80"/>
      <c r="I117" s="80"/>
      <c r="J117" s="80"/>
    </row>
    <row r="118" spans="1:10" ht="12.75">
      <c r="A118" s="80"/>
      <c r="B118" s="80"/>
      <c r="C118" s="80"/>
      <c r="D118" s="80"/>
      <c r="E118" s="80"/>
      <c r="F118" s="80"/>
      <c r="G118" s="80"/>
      <c r="H118" s="80"/>
      <c r="I118" s="80"/>
      <c r="J118" s="80"/>
    </row>
    <row r="119" spans="1:10" ht="12.75">
      <c r="A119" s="80"/>
      <c r="B119" s="80"/>
      <c r="C119" s="80"/>
      <c r="D119" s="80"/>
      <c r="E119" s="80"/>
      <c r="F119" s="80"/>
      <c r="G119" s="80"/>
      <c r="H119" s="80"/>
      <c r="I119" s="80"/>
      <c r="J119" s="80"/>
    </row>
    <row r="120" spans="1:10" ht="12.75">
      <c r="A120" s="80"/>
      <c r="B120" s="80"/>
      <c r="C120" s="80"/>
      <c r="D120" s="80"/>
      <c r="E120" s="80"/>
      <c r="F120" s="80"/>
      <c r="G120" s="80"/>
      <c r="H120" s="80"/>
      <c r="I120" s="80"/>
      <c r="J120" s="80"/>
    </row>
    <row r="121" spans="1:10" ht="12.75">
      <c r="A121" s="80"/>
      <c r="B121" s="80"/>
      <c r="C121" s="80"/>
      <c r="D121" s="80"/>
      <c r="E121" s="80"/>
      <c r="F121" s="80"/>
      <c r="G121" s="80"/>
      <c r="H121" s="80"/>
      <c r="I121" s="80"/>
      <c r="J121" s="80"/>
    </row>
    <row r="122" spans="1:10" ht="12.75">
      <c r="A122" s="80"/>
      <c r="B122" s="80"/>
      <c r="C122" s="80"/>
      <c r="D122" s="80"/>
      <c r="E122" s="80"/>
      <c r="F122" s="80"/>
      <c r="G122" s="80"/>
      <c r="H122" s="80"/>
      <c r="I122" s="80"/>
      <c r="J122" s="80"/>
    </row>
    <row r="123" spans="1:10" ht="12.75">
      <c r="A123" s="80"/>
      <c r="B123" s="80"/>
      <c r="C123" s="80"/>
      <c r="D123" s="80"/>
      <c r="E123" s="80"/>
      <c r="F123" s="80"/>
      <c r="G123" s="80"/>
      <c r="H123" s="80"/>
      <c r="I123" s="80"/>
      <c r="J123" s="80"/>
    </row>
    <row r="124" spans="1:10" ht="12.75">
      <c r="A124" s="80"/>
      <c r="B124" s="80"/>
      <c r="C124" s="80"/>
      <c r="D124" s="80"/>
      <c r="E124" s="80"/>
      <c r="F124" s="80"/>
      <c r="G124" s="80"/>
      <c r="H124" s="80"/>
      <c r="I124" s="80"/>
      <c r="J124" s="80"/>
    </row>
    <row r="125" spans="1:10" ht="12.75">
      <c r="A125" s="80"/>
      <c r="B125" s="80"/>
      <c r="C125" s="80"/>
      <c r="D125" s="80"/>
      <c r="E125" s="80"/>
      <c r="F125" s="80"/>
      <c r="G125" s="80"/>
      <c r="H125" s="80"/>
      <c r="I125" s="80"/>
      <c r="J125" s="80"/>
    </row>
    <row r="126" spans="1:10" ht="12.75">
      <c r="A126" s="80"/>
      <c r="B126" s="80"/>
      <c r="C126" s="80"/>
      <c r="D126" s="80"/>
      <c r="E126" s="80"/>
      <c r="F126" s="80"/>
      <c r="G126" s="80"/>
      <c r="H126" s="80"/>
      <c r="I126" s="80"/>
      <c r="J126" s="80"/>
    </row>
    <row r="127" spans="1:10" ht="12.75">
      <c r="A127" s="80"/>
      <c r="B127" s="80"/>
      <c r="C127" s="80"/>
      <c r="D127" s="80"/>
      <c r="E127" s="80"/>
      <c r="F127" s="80"/>
      <c r="G127" s="80"/>
      <c r="H127" s="80"/>
      <c r="I127" s="80"/>
      <c r="J127" s="80"/>
    </row>
    <row r="128" spans="1:10" ht="12.75">
      <c r="A128" s="80"/>
      <c r="B128" s="80"/>
      <c r="C128" s="80"/>
      <c r="D128" s="80"/>
      <c r="E128" s="80"/>
      <c r="F128" s="80"/>
      <c r="G128" s="80"/>
      <c r="H128" s="80"/>
      <c r="I128" s="80"/>
      <c r="J128" s="80"/>
    </row>
    <row r="129" spans="1:10" ht="12.75">
      <c r="A129" s="80"/>
      <c r="B129" s="80"/>
      <c r="C129" s="80"/>
      <c r="D129" s="80"/>
      <c r="E129" s="80"/>
      <c r="F129" s="80"/>
      <c r="G129" s="80"/>
      <c r="H129" s="80"/>
      <c r="I129" s="80"/>
      <c r="J129" s="80"/>
    </row>
    <row r="130" spans="1:10" ht="12.75">
      <c r="A130" s="80"/>
      <c r="B130" s="80"/>
      <c r="C130" s="80"/>
      <c r="D130" s="80"/>
      <c r="E130" s="80"/>
      <c r="F130" s="80"/>
      <c r="G130" s="80"/>
      <c r="H130" s="80"/>
      <c r="I130" s="80"/>
      <c r="J130" s="80"/>
    </row>
    <row r="131" spans="1:10" ht="12.75">
      <c r="A131" s="80"/>
      <c r="B131" s="80"/>
      <c r="C131" s="80"/>
      <c r="D131" s="80"/>
      <c r="E131" s="80"/>
      <c r="F131" s="80"/>
      <c r="G131" s="80"/>
      <c r="H131" s="80"/>
      <c r="I131" s="80"/>
      <c r="J131" s="80"/>
    </row>
    <row r="132" spans="1:10" ht="12.75">
      <c r="A132" s="80"/>
      <c r="B132" s="80"/>
      <c r="C132" s="80"/>
      <c r="D132" s="80"/>
      <c r="E132" s="80"/>
      <c r="F132" s="80"/>
      <c r="G132" s="80"/>
      <c r="H132" s="80"/>
      <c r="I132" s="80"/>
      <c r="J132" s="80"/>
    </row>
    <row r="133" spans="1:10" ht="12.75">
      <c r="A133" s="80"/>
      <c r="B133" s="80"/>
      <c r="C133" s="80"/>
      <c r="D133" s="80"/>
      <c r="E133" s="80"/>
      <c r="F133" s="80"/>
      <c r="G133" s="80"/>
      <c r="H133" s="80"/>
      <c r="I133" s="80"/>
      <c r="J133" s="80"/>
    </row>
    <row r="134" spans="1:10" ht="12.75">
      <c r="A134" s="80"/>
      <c r="B134" s="80"/>
      <c r="C134" s="80"/>
      <c r="D134" s="80"/>
      <c r="E134" s="80"/>
      <c r="F134" s="80"/>
      <c r="G134" s="80"/>
      <c r="H134" s="80"/>
      <c r="I134" s="80"/>
      <c r="J134" s="80"/>
    </row>
    <row r="135" spans="1:10" ht="12.75">
      <c r="A135" s="80"/>
      <c r="B135" s="80"/>
      <c r="C135" s="80"/>
      <c r="D135" s="80"/>
      <c r="E135" s="80"/>
      <c r="F135" s="80"/>
      <c r="G135" s="80"/>
      <c r="H135" s="80"/>
      <c r="I135" s="80"/>
      <c r="J135" s="80"/>
    </row>
    <row r="136" spans="1:10" ht="12.75">
      <c r="A136" s="80"/>
      <c r="B136" s="80"/>
      <c r="C136" s="80"/>
      <c r="D136" s="80"/>
      <c r="E136" s="80"/>
      <c r="F136" s="80"/>
      <c r="G136" s="80"/>
      <c r="H136" s="80"/>
      <c r="I136" s="80"/>
      <c r="J136" s="80"/>
    </row>
    <row r="137" spans="1:10" ht="12.75">
      <c r="A137" s="80"/>
      <c r="B137" s="80"/>
      <c r="C137" s="80"/>
      <c r="D137" s="80"/>
      <c r="E137" s="80"/>
      <c r="F137" s="80"/>
      <c r="G137" s="80"/>
      <c r="H137" s="80"/>
      <c r="I137" s="80"/>
      <c r="J137" s="80"/>
    </row>
    <row r="138" spans="1:10" ht="12.75">
      <c r="A138" s="80"/>
      <c r="B138" s="80"/>
      <c r="C138" s="80"/>
      <c r="D138" s="80"/>
      <c r="E138" s="80"/>
      <c r="F138" s="80"/>
      <c r="G138" s="80"/>
      <c r="H138" s="80"/>
      <c r="I138" s="80"/>
      <c r="J138" s="80"/>
    </row>
    <row r="139" spans="1:10" ht="12.75">
      <c r="A139" s="80"/>
      <c r="B139" s="80"/>
      <c r="C139" s="80"/>
      <c r="D139" s="80"/>
      <c r="E139" s="80"/>
      <c r="F139" s="80"/>
      <c r="G139" s="80"/>
      <c r="H139" s="80"/>
      <c r="I139" s="80"/>
      <c r="J139" s="80"/>
    </row>
    <row r="140" spans="1:10" ht="12.75">
      <c r="A140" s="80"/>
      <c r="B140" s="80"/>
      <c r="C140" s="80"/>
      <c r="D140" s="80"/>
      <c r="E140" s="80"/>
      <c r="F140" s="80"/>
      <c r="G140" s="80"/>
      <c r="H140" s="80"/>
      <c r="I140" s="80"/>
      <c r="J140" s="80"/>
    </row>
    <row r="141" spans="1:10" ht="12.75">
      <c r="A141" s="80"/>
      <c r="B141" s="80"/>
      <c r="C141" s="80"/>
      <c r="D141" s="80"/>
      <c r="E141" s="80"/>
      <c r="F141" s="80"/>
      <c r="G141" s="80"/>
      <c r="H141" s="80"/>
      <c r="I141" s="80"/>
      <c r="J141" s="80"/>
    </row>
    <row r="142" spans="1:10" ht="12.75">
      <c r="A142" s="80"/>
      <c r="B142" s="80"/>
      <c r="C142" s="80"/>
      <c r="D142" s="80"/>
      <c r="E142" s="80"/>
      <c r="F142" s="80"/>
      <c r="G142" s="80"/>
      <c r="H142" s="80"/>
      <c r="I142" s="80"/>
      <c r="J142" s="80"/>
    </row>
    <row r="143" spans="1:10" ht="12.75">
      <c r="A143" s="80"/>
      <c r="B143" s="80"/>
      <c r="C143" s="80"/>
      <c r="D143" s="80"/>
      <c r="E143" s="80"/>
      <c r="F143" s="80"/>
      <c r="G143" s="80"/>
      <c r="H143" s="80"/>
      <c r="I143" s="80"/>
      <c r="J143" s="80"/>
    </row>
    <row r="144" spans="1:10" ht="12.75">
      <c r="A144" s="80"/>
      <c r="B144" s="80"/>
      <c r="C144" s="80"/>
      <c r="D144" s="80"/>
      <c r="E144" s="80"/>
      <c r="F144" s="80"/>
      <c r="G144" s="80"/>
      <c r="H144" s="80"/>
      <c r="I144" s="80"/>
      <c r="J144" s="80"/>
    </row>
    <row r="145" spans="1:10" ht="12.75">
      <c r="A145" s="80"/>
      <c r="B145" s="80"/>
      <c r="C145" s="80"/>
      <c r="D145" s="80"/>
      <c r="E145" s="80"/>
      <c r="F145" s="80"/>
      <c r="G145" s="80"/>
      <c r="H145" s="80"/>
      <c r="I145" s="80"/>
      <c r="J145" s="80"/>
    </row>
    <row r="146" spans="1:10" ht="12.75">
      <c r="A146" s="80"/>
      <c r="B146" s="80"/>
      <c r="C146" s="80"/>
      <c r="D146" s="80"/>
      <c r="E146" s="80"/>
      <c r="F146" s="80"/>
      <c r="G146" s="80"/>
      <c r="H146" s="80"/>
      <c r="I146" s="80"/>
      <c r="J146" s="80"/>
    </row>
    <row r="147" spans="1:10" ht="12.75">
      <c r="A147" s="80"/>
      <c r="B147" s="80"/>
      <c r="C147" s="80"/>
      <c r="D147" s="80"/>
      <c r="E147" s="80"/>
      <c r="F147" s="80"/>
      <c r="G147" s="80"/>
      <c r="H147" s="80"/>
      <c r="I147" s="80"/>
      <c r="J147" s="80"/>
    </row>
    <row r="148" spans="1:10" ht="12.75">
      <c r="A148" s="80"/>
      <c r="B148" s="80"/>
      <c r="C148" s="80"/>
      <c r="D148" s="80"/>
      <c r="E148" s="80"/>
      <c r="F148" s="80"/>
      <c r="G148" s="80"/>
      <c r="H148" s="80"/>
      <c r="I148" s="80"/>
      <c r="J148" s="80"/>
    </row>
    <row r="149" spans="1:10" ht="12.75">
      <c r="A149" s="80"/>
      <c r="B149" s="80"/>
      <c r="C149" s="80"/>
      <c r="D149" s="80"/>
      <c r="E149" s="80"/>
      <c r="F149" s="80"/>
      <c r="G149" s="80"/>
      <c r="H149" s="80"/>
      <c r="I149" s="80"/>
      <c r="J149" s="80"/>
    </row>
    <row r="150" spans="1:10" ht="12.75">
      <c r="A150" s="80"/>
      <c r="B150" s="80"/>
      <c r="C150" s="80"/>
      <c r="D150" s="80"/>
      <c r="E150" s="80"/>
      <c r="F150" s="80"/>
      <c r="G150" s="80"/>
      <c r="H150" s="80"/>
      <c r="I150" s="80"/>
      <c r="J150" s="80"/>
    </row>
    <row r="151" spans="1:10" ht="12.75">
      <c r="A151" s="80"/>
      <c r="B151" s="80"/>
      <c r="C151" s="80"/>
      <c r="D151" s="80"/>
      <c r="E151" s="80"/>
      <c r="F151" s="80"/>
      <c r="G151" s="80"/>
      <c r="H151" s="80"/>
      <c r="I151" s="80"/>
      <c r="J151" s="80"/>
    </row>
    <row r="152" spans="1:10" ht="12.75">
      <c r="A152" s="80"/>
      <c r="B152" s="80"/>
      <c r="C152" s="80"/>
      <c r="D152" s="80"/>
      <c r="E152" s="80"/>
      <c r="F152" s="80"/>
      <c r="G152" s="80"/>
      <c r="H152" s="80"/>
      <c r="I152" s="80"/>
      <c r="J152" s="80"/>
    </row>
    <row r="153" spans="1:10" ht="12.75">
      <c r="A153" s="80"/>
      <c r="B153" s="80"/>
      <c r="C153" s="80"/>
      <c r="D153" s="80"/>
      <c r="E153" s="80"/>
      <c r="F153" s="80"/>
      <c r="G153" s="80"/>
      <c r="H153" s="80"/>
      <c r="I153" s="80"/>
      <c r="J153" s="80"/>
    </row>
    <row r="154" spans="1:10" ht="12.75">
      <c r="A154" s="80"/>
      <c r="B154" s="80"/>
      <c r="C154" s="80"/>
      <c r="D154" s="80"/>
      <c r="E154" s="80"/>
      <c r="F154" s="80"/>
      <c r="G154" s="80"/>
      <c r="H154" s="80"/>
      <c r="I154" s="80"/>
      <c r="J154" s="80"/>
    </row>
    <row r="155" spans="1:10" ht="12.75">
      <c r="A155" s="80"/>
      <c r="B155" s="80"/>
      <c r="C155" s="80"/>
      <c r="D155" s="80"/>
      <c r="E155" s="80"/>
      <c r="F155" s="80"/>
      <c r="G155" s="80"/>
      <c r="H155" s="80"/>
      <c r="I155" s="80"/>
      <c r="J155" s="80"/>
    </row>
    <row r="156" spans="1:10" ht="12.75">
      <c r="A156" s="80"/>
      <c r="B156" s="80"/>
      <c r="C156" s="80"/>
      <c r="D156" s="80"/>
      <c r="E156" s="80"/>
      <c r="F156" s="80"/>
      <c r="G156" s="80"/>
      <c r="H156" s="80"/>
      <c r="I156" s="80"/>
      <c r="J156" s="80"/>
    </row>
    <row r="157" spans="1:10" ht="12.75">
      <c r="A157" s="80"/>
      <c r="B157" s="80"/>
      <c r="C157" s="80"/>
      <c r="D157" s="80"/>
      <c r="E157" s="80"/>
      <c r="F157" s="80"/>
      <c r="G157" s="80"/>
      <c r="H157" s="80"/>
      <c r="I157" s="80"/>
      <c r="J157" s="80"/>
    </row>
    <row r="158" spans="1:10" ht="12.75">
      <c r="A158" s="80"/>
      <c r="B158" s="80"/>
      <c r="C158" s="80"/>
      <c r="D158" s="80"/>
      <c r="E158" s="80"/>
      <c r="F158" s="80"/>
      <c r="G158" s="80"/>
      <c r="H158" s="80"/>
      <c r="I158" s="80"/>
      <c r="J158" s="80"/>
    </row>
    <row r="159" spans="1:10" ht="12.75">
      <c r="A159" s="80"/>
      <c r="B159" s="80"/>
      <c r="C159" s="80"/>
      <c r="D159" s="80"/>
      <c r="E159" s="80"/>
      <c r="F159" s="80"/>
      <c r="G159" s="80"/>
      <c r="H159" s="80"/>
      <c r="I159" s="80"/>
      <c r="J159" s="80"/>
    </row>
    <row r="160" spans="1:10" ht="12.75">
      <c r="A160" s="80"/>
      <c r="B160" s="80"/>
      <c r="C160" s="80"/>
      <c r="D160" s="80"/>
      <c r="E160" s="80"/>
      <c r="F160" s="80"/>
      <c r="G160" s="80"/>
      <c r="H160" s="80"/>
      <c r="I160" s="80"/>
      <c r="J160" s="80"/>
    </row>
    <row r="161" spans="1:10" ht="12.75">
      <c r="A161" s="80"/>
      <c r="B161" s="80"/>
      <c r="C161" s="80"/>
      <c r="D161" s="80"/>
      <c r="E161" s="80"/>
      <c r="F161" s="80"/>
      <c r="G161" s="80"/>
      <c r="H161" s="80"/>
      <c r="I161" s="80"/>
      <c r="J161" s="80"/>
    </row>
    <row r="162" spans="1:10" ht="12.75">
      <c r="A162" s="80"/>
      <c r="B162" s="80"/>
      <c r="C162" s="80"/>
      <c r="D162" s="80"/>
      <c r="E162" s="80"/>
      <c r="F162" s="80"/>
      <c r="G162" s="80"/>
      <c r="H162" s="80"/>
      <c r="I162" s="80"/>
      <c r="J162" s="80"/>
    </row>
    <row r="163" spans="1:10" ht="12.75">
      <c r="A163" s="80"/>
      <c r="B163" s="80"/>
      <c r="C163" s="80"/>
      <c r="D163" s="80"/>
      <c r="E163" s="80"/>
      <c r="F163" s="80"/>
      <c r="G163" s="80"/>
      <c r="H163" s="80"/>
      <c r="I163" s="80"/>
      <c r="J163" s="80"/>
    </row>
    <row r="164" spans="1:10" ht="12.75">
      <c r="A164" s="80"/>
      <c r="B164" s="80"/>
      <c r="C164" s="80"/>
      <c r="D164" s="80"/>
      <c r="E164" s="80"/>
      <c r="F164" s="80"/>
      <c r="G164" s="80"/>
      <c r="H164" s="80"/>
      <c r="I164" s="80"/>
      <c r="J164" s="80"/>
    </row>
    <row r="165" spans="1:10" ht="12.75">
      <c r="A165" s="80"/>
      <c r="B165" s="80"/>
      <c r="C165" s="80"/>
      <c r="D165" s="80"/>
      <c r="E165" s="80"/>
      <c r="F165" s="80"/>
      <c r="G165" s="80"/>
      <c r="H165" s="80"/>
      <c r="I165" s="80"/>
      <c r="J165" s="80"/>
    </row>
    <row r="166" spans="1:10" ht="12.75">
      <c r="A166" s="80"/>
      <c r="B166" s="80"/>
      <c r="C166" s="80"/>
      <c r="D166" s="80"/>
      <c r="E166" s="80"/>
      <c r="F166" s="80"/>
      <c r="G166" s="80"/>
      <c r="H166" s="80"/>
      <c r="I166" s="80"/>
      <c r="J166" s="80"/>
    </row>
    <row r="167" spans="1:10" ht="12.75">
      <c r="A167" s="80"/>
      <c r="B167" s="80"/>
      <c r="C167" s="80"/>
      <c r="D167" s="80"/>
      <c r="E167" s="80"/>
      <c r="F167" s="80"/>
      <c r="G167" s="80"/>
      <c r="H167" s="80"/>
      <c r="I167" s="80"/>
      <c r="J167" s="80"/>
    </row>
    <row r="168" spans="1:10" ht="12.75">
      <c r="A168" s="80"/>
      <c r="B168" s="80"/>
      <c r="C168" s="80"/>
      <c r="D168" s="80"/>
      <c r="E168" s="80"/>
      <c r="F168" s="80"/>
      <c r="G168" s="80"/>
      <c r="H168" s="80"/>
      <c r="I168" s="80"/>
      <c r="J168" s="80"/>
    </row>
    <row r="169" spans="1:10" ht="12.75">
      <c r="A169" s="80"/>
      <c r="B169" s="80"/>
      <c r="C169" s="80"/>
      <c r="D169" s="80"/>
      <c r="E169" s="80"/>
      <c r="F169" s="80"/>
      <c r="G169" s="80"/>
      <c r="H169" s="80"/>
      <c r="I169" s="80"/>
      <c r="J169" s="80"/>
    </row>
    <row r="170" spans="1:10" ht="12.75">
      <c r="A170" s="80"/>
      <c r="B170" s="80"/>
      <c r="C170" s="80"/>
      <c r="D170" s="80"/>
      <c r="E170" s="80"/>
      <c r="F170" s="80"/>
      <c r="G170" s="80"/>
      <c r="H170" s="80"/>
      <c r="I170" s="80"/>
      <c r="J170" s="80"/>
    </row>
    <row r="171" spans="1:10" ht="12.75">
      <c r="A171" s="80"/>
      <c r="B171" s="80"/>
      <c r="C171" s="80"/>
      <c r="D171" s="80"/>
      <c r="E171" s="80"/>
      <c r="F171" s="80"/>
      <c r="G171" s="80"/>
      <c r="H171" s="80"/>
      <c r="I171" s="80"/>
      <c r="J171" s="80"/>
    </row>
    <row r="172" spans="1:10" ht="12.75">
      <c r="A172" s="80"/>
      <c r="B172" s="80"/>
      <c r="C172" s="80"/>
      <c r="D172" s="80"/>
      <c r="E172" s="80"/>
      <c r="F172" s="80"/>
      <c r="G172" s="80"/>
      <c r="H172" s="80"/>
      <c r="I172" s="80"/>
      <c r="J172" s="80"/>
    </row>
    <row r="173" spans="1:10" ht="12.75">
      <c r="A173" s="80"/>
      <c r="B173" s="80"/>
      <c r="C173" s="80"/>
      <c r="D173" s="80"/>
      <c r="E173" s="80"/>
      <c r="F173" s="80"/>
      <c r="G173" s="80"/>
      <c r="H173" s="80"/>
      <c r="I173" s="80"/>
      <c r="J173" s="80"/>
    </row>
    <row r="174" spans="1:10" ht="12.75">
      <c r="A174" s="80"/>
      <c r="B174" s="80"/>
      <c r="C174" s="80"/>
      <c r="D174" s="80"/>
      <c r="E174" s="80"/>
      <c r="F174" s="80"/>
      <c r="G174" s="80"/>
      <c r="H174" s="80"/>
      <c r="I174" s="80"/>
      <c r="J174" s="80"/>
    </row>
    <row r="175" spans="1:10" ht="12.75">
      <c r="A175" s="80"/>
      <c r="B175" s="80"/>
      <c r="C175" s="80"/>
      <c r="D175" s="80"/>
      <c r="E175" s="80"/>
      <c r="F175" s="80"/>
      <c r="G175" s="80"/>
      <c r="H175" s="80"/>
      <c r="I175" s="80"/>
      <c r="J175" s="80"/>
    </row>
    <row r="176" spans="1:10" ht="12.75">
      <c r="A176" s="80"/>
      <c r="B176" s="80"/>
      <c r="C176" s="80"/>
      <c r="D176" s="80"/>
      <c r="E176" s="80"/>
      <c r="F176" s="80"/>
      <c r="G176" s="80"/>
      <c r="H176" s="80"/>
      <c r="I176" s="80"/>
      <c r="J176" s="80"/>
    </row>
    <row r="177" spans="1:10" ht="12.75">
      <c r="A177" s="80"/>
      <c r="B177" s="80"/>
      <c r="C177" s="80"/>
      <c r="D177" s="80"/>
      <c r="E177" s="80"/>
      <c r="F177" s="80"/>
      <c r="G177" s="80"/>
      <c r="H177" s="80"/>
      <c r="I177" s="80"/>
      <c r="J177" s="80"/>
    </row>
    <row r="178" spans="1:10" ht="12.75">
      <c r="A178" s="80"/>
      <c r="B178" s="80"/>
      <c r="C178" s="80"/>
      <c r="D178" s="80"/>
      <c r="E178" s="80"/>
      <c r="F178" s="80"/>
      <c r="G178" s="80"/>
      <c r="H178" s="80"/>
      <c r="I178" s="80"/>
      <c r="J178" s="80"/>
    </row>
    <row r="179" spans="1:10" ht="12.75">
      <c r="A179" s="80"/>
      <c r="B179" s="80"/>
      <c r="C179" s="80"/>
      <c r="D179" s="80"/>
      <c r="E179" s="80"/>
      <c r="F179" s="80"/>
      <c r="G179" s="80"/>
      <c r="H179" s="80"/>
      <c r="I179" s="80"/>
      <c r="J179" s="80"/>
    </row>
    <row r="180" spans="1:10" ht="12.75">
      <c r="A180" s="80"/>
      <c r="B180" s="80"/>
      <c r="C180" s="80"/>
      <c r="D180" s="80"/>
      <c r="E180" s="80"/>
      <c r="F180" s="80"/>
      <c r="G180" s="80"/>
      <c r="H180" s="80"/>
      <c r="I180" s="80"/>
      <c r="J180" s="80"/>
    </row>
    <row r="181" spans="1:10" ht="12.75">
      <c r="A181" s="80"/>
      <c r="B181" s="80"/>
      <c r="C181" s="80"/>
      <c r="D181" s="80"/>
      <c r="E181" s="80"/>
      <c r="F181" s="80"/>
      <c r="G181" s="80"/>
      <c r="H181" s="80"/>
      <c r="I181" s="80"/>
      <c r="J181" s="80"/>
    </row>
    <row r="182" spans="1:10" ht="12.75">
      <c r="A182" s="80"/>
      <c r="B182" s="80"/>
      <c r="C182" s="80"/>
      <c r="D182" s="80"/>
      <c r="E182" s="80"/>
      <c r="F182" s="80"/>
      <c r="G182" s="80"/>
      <c r="H182" s="80"/>
      <c r="I182" s="80"/>
      <c r="J182" s="80"/>
    </row>
    <row r="183" spans="1:10" ht="12.75">
      <c r="A183" s="80"/>
      <c r="B183" s="80"/>
      <c r="C183" s="80"/>
      <c r="D183" s="80"/>
      <c r="E183" s="80"/>
      <c r="F183" s="80"/>
      <c r="G183" s="80"/>
      <c r="H183" s="80"/>
      <c r="I183" s="80"/>
      <c r="J183" s="80"/>
    </row>
    <row r="184" spans="1:10" ht="12.75">
      <c r="A184" s="80"/>
      <c r="B184" s="80"/>
      <c r="C184" s="80"/>
      <c r="D184" s="80"/>
      <c r="E184" s="80"/>
      <c r="F184" s="80"/>
      <c r="G184" s="80"/>
      <c r="H184" s="80"/>
      <c r="I184" s="80"/>
      <c r="J184" s="80"/>
    </row>
    <row r="185" spans="1:10" ht="12.75">
      <c r="A185" s="80"/>
      <c r="B185" s="80"/>
      <c r="C185" s="80"/>
      <c r="D185" s="80"/>
      <c r="E185" s="80"/>
      <c r="F185" s="80"/>
      <c r="G185" s="80"/>
      <c r="H185" s="80"/>
      <c r="I185" s="80"/>
      <c r="J185" s="80"/>
    </row>
    <row r="186" spans="1:10" ht="12.75">
      <c r="A186" s="80"/>
      <c r="B186" s="80"/>
      <c r="C186" s="80"/>
      <c r="D186" s="80"/>
      <c r="E186" s="80"/>
      <c r="F186" s="80"/>
      <c r="G186" s="80"/>
      <c r="H186" s="80"/>
      <c r="I186" s="80"/>
      <c r="J186" s="80"/>
    </row>
    <row r="187" spans="1:10" ht="12.75">
      <c r="A187" s="80"/>
      <c r="B187" s="80"/>
      <c r="C187" s="80"/>
      <c r="D187" s="80"/>
      <c r="E187" s="80"/>
      <c r="F187" s="80"/>
      <c r="G187" s="80"/>
      <c r="H187" s="80"/>
      <c r="I187" s="80"/>
      <c r="J187" s="80"/>
    </row>
    <row r="188" spans="1:10" ht="12.75">
      <c r="A188" s="80"/>
      <c r="B188" s="80"/>
      <c r="C188" s="80"/>
      <c r="D188" s="80"/>
      <c r="E188" s="80"/>
      <c r="F188" s="80"/>
      <c r="G188" s="80"/>
      <c r="H188" s="80"/>
      <c r="I188" s="80"/>
      <c r="J188" s="80"/>
    </row>
    <row r="189" spans="1:10" ht="12.75">
      <c r="A189" s="80"/>
      <c r="B189" s="80"/>
      <c r="C189" s="80"/>
      <c r="D189" s="80"/>
      <c r="E189" s="80"/>
      <c r="F189" s="80"/>
      <c r="G189" s="80"/>
      <c r="H189" s="80"/>
      <c r="I189" s="80"/>
      <c r="J189" s="80"/>
    </row>
    <row r="190" spans="1:10" ht="12.75">
      <c r="A190" s="80"/>
      <c r="B190" s="80"/>
      <c r="C190" s="80"/>
      <c r="D190" s="80"/>
      <c r="E190" s="80"/>
      <c r="F190" s="80"/>
      <c r="G190" s="80"/>
      <c r="H190" s="80"/>
      <c r="I190" s="80"/>
      <c r="J190" s="80"/>
    </row>
    <row r="191" spans="1:10" ht="12.75">
      <c r="A191" s="80"/>
      <c r="B191" s="80"/>
      <c r="C191" s="80"/>
      <c r="D191" s="80"/>
      <c r="E191" s="80"/>
      <c r="F191" s="80"/>
      <c r="G191" s="80"/>
      <c r="H191" s="80"/>
      <c r="I191" s="80"/>
      <c r="J191" s="80"/>
    </row>
    <row r="192" spans="1:10" ht="12.75">
      <c r="A192" s="80"/>
      <c r="B192" s="80"/>
      <c r="C192" s="80"/>
      <c r="D192" s="80"/>
      <c r="E192" s="80"/>
      <c r="F192" s="80"/>
      <c r="G192" s="80"/>
      <c r="H192" s="80"/>
      <c r="I192" s="80"/>
      <c r="J192" s="80"/>
    </row>
    <row r="193" spans="1:10" ht="12.75">
      <c r="A193" s="80"/>
      <c r="B193" s="80"/>
      <c r="C193" s="80"/>
      <c r="D193" s="80"/>
      <c r="E193" s="80"/>
      <c r="F193" s="80"/>
      <c r="G193" s="80"/>
      <c r="H193" s="80"/>
      <c r="I193" s="80"/>
      <c r="J193" s="80"/>
    </row>
    <row r="194" spans="1:10" ht="12.75">
      <c r="A194" s="80"/>
      <c r="B194" s="80"/>
      <c r="C194" s="80"/>
      <c r="D194" s="80"/>
      <c r="E194" s="80"/>
      <c r="F194" s="80"/>
      <c r="G194" s="80"/>
      <c r="H194" s="80"/>
      <c r="I194" s="80"/>
      <c r="J194" s="80"/>
    </row>
    <row r="195" spans="1:10" ht="12.75">
      <c r="A195" s="80"/>
      <c r="B195" s="80"/>
      <c r="C195" s="80"/>
      <c r="D195" s="80"/>
      <c r="E195" s="80"/>
      <c r="F195" s="80"/>
      <c r="G195" s="80"/>
      <c r="H195" s="80"/>
      <c r="I195" s="80"/>
      <c r="J195" s="80"/>
    </row>
    <row r="196" spans="1:10" ht="12.75">
      <c r="A196" s="80"/>
      <c r="B196" s="80"/>
      <c r="C196" s="80"/>
      <c r="D196" s="80"/>
      <c r="E196" s="80"/>
      <c r="F196" s="80"/>
      <c r="G196" s="80"/>
      <c r="H196" s="80"/>
      <c r="I196" s="80"/>
      <c r="J196" s="80"/>
    </row>
    <row r="197" spans="1:10" ht="12.75">
      <c r="A197" s="80"/>
      <c r="B197" s="80"/>
      <c r="C197" s="80"/>
      <c r="D197" s="80"/>
      <c r="E197" s="80"/>
      <c r="F197" s="80"/>
      <c r="G197" s="80"/>
      <c r="H197" s="80"/>
      <c r="I197" s="80"/>
      <c r="J197" s="80"/>
    </row>
    <row r="198" spans="1:10" ht="12.75">
      <c r="A198" s="80"/>
      <c r="B198" s="80"/>
      <c r="C198" s="80"/>
      <c r="D198" s="80"/>
      <c r="E198" s="80"/>
      <c r="F198" s="80"/>
      <c r="G198" s="80"/>
      <c r="H198" s="80"/>
      <c r="I198" s="80"/>
      <c r="J198" s="80"/>
    </row>
    <row r="199" spans="1:10" ht="12.75">
      <c r="A199" s="80"/>
      <c r="B199" s="80"/>
      <c r="C199" s="80"/>
      <c r="D199" s="80"/>
      <c r="E199" s="80"/>
      <c r="F199" s="80"/>
      <c r="G199" s="80"/>
      <c r="H199" s="80"/>
      <c r="I199" s="80"/>
      <c r="J199" s="80"/>
    </row>
    <row r="200" spans="1:10" ht="12.75">
      <c r="A200" s="80"/>
      <c r="B200" s="80"/>
      <c r="C200" s="80"/>
      <c r="D200" s="80"/>
      <c r="E200" s="80"/>
      <c r="F200" s="80"/>
      <c r="G200" s="80"/>
      <c r="H200" s="80"/>
      <c r="I200" s="80"/>
      <c r="J200" s="80"/>
    </row>
    <row r="201" spans="1:10" ht="12.75">
      <c r="A201" s="80"/>
      <c r="B201" s="80"/>
      <c r="C201" s="80"/>
      <c r="D201" s="80"/>
      <c r="E201" s="80"/>
      <c r="F201" s="80"/>
      <c r="G201" s="80"/>
      <c r="H201" s="80"/>
      <c r="I201" s="80"/>
      <c r="J201" s="80"/>
    </row>
    <row r="202" spans="1:10" ht="12.75">
      <c r="A202" s="80"/>
      <c r="B202" s="80"/>
      <c r="C202" s="80"/>
      <c r="D202" s="80"/>
      <c r="E202" s="80"/>
      <c r="F202" s="80"/>
      <c r="G202" s="80"/>
      <c r="H202" s="80"/>
      <c r="I202" s="80"/>
      <c r="J202" s="80"/>
    </row>
    <row r="203" spans="1:10" ht="12.75">
      <c r="A203" s="80"/>
      <c r="B203" s="80"/>
      <c r="C203" s="80"/>
      <c r="D203" s="80"/>
      <c r="E203" s="80"/>
      <c r="F203" s="80"/>
      <c r="G203" s="80"/>
      <c r="H203" s="80"/>
      <c r="I203" s="80"/>
      <c r="J203" s="80"/>
    </row>
    <row r="204" spans="1:10" ht="12.75">
      <c r="A204" s="80"/>
      <c r="B204" s="80"/>
      <c r="C204" s="80"/>
      <c r="D204" s="80"/>
      <c r="E204" s="80"/>
      <c r="F204" s="80"/>
      <c r="G204" s="80"/>
      <c r="H204" s="80"/>
      <c r="I204" s="80"/>
      <c r="J204" s="80"/>
    </row>
    <row r="205" spans="1:10" ht="12.75">
      <c r="A205" s="80"/>
      <c r="B205" s="80"/>
      <c r="C205" s="80"/>
      <c r="D205" s="80"/>
      <c r="E205" s="80"/>
      <c r="F205" s="80"/>
      <c r="G205" s="80"/>
      <c r="H205" s="80"/>
      <c r="I205" s="80"/>
      <c r="J205" s="80"/>
    </row>
    <row r="206" spans="1:10" ht="12.75">
      <c r="A206" s="80"/>
      <c r="B206" s="80"/>
      <c r="C206" s="80"/>
      <c r="D206" s="80"/>
      <c r="E206" s="80"/>
      <c r="F206" s="80"/>
      <c r="G206" s="80"/>
      <c r="H206" s="80"/>
      <c r="I206" s="80"/>
      <c r="J206" s="80"/>
    </row>
    <row r="207" spans="1:10" ht="12.75">
      <c r="A207" s="80"/>
      <c r="B207" s="80"/>
      <c r="C207" s="80"/>
      <c r="D207" s="80"/>
      <c r="E207" s="80"/>
      <c r="F207" s="80"/>
      <c r="G207" s="80"/>
      <c r="H207" s="80"/>
      <c r="I207" s="80"/>
      <c r="J207" s="80"/>
    </row>
    <row r="208" spans="1:10" ht="12.75">
      <c r="A208" s="80"/>
      <c r="B208" s="80"/>
      <c r="C208" s="80"/>
      <c r="D208" s="80"/>
      <c r="E208" s="80"/>
      <c r="F208" s="80"/>
      <c r="G208" s="80"/>
      <c r="H208" s="80"/>
      <c r="I208" s="80"/>
      <c r="J208" s="80"/>
    </row>
    <row r="209" spans="1:10" ht="12.75">
      <c r="A209" s="80"/>
      <c r="B209" s="80"/>
      <c r="C209" s="80"/>
      <c r="D209" s="80"/>
      <c r="E209" s="80"/>
      <c r="F209" s="80"/>
      <c r="G209" s="80"/>
      <c r="H209" s="80"/>
      <c r="I209" s="80"/>
      <c r="J209" s="80"/>
    </row>
    <row r="210" spans="1:10" ht="12.75">
      <c r="A210" s="80"/>
      <c r="B210" s="80"/>
      <c r="C210" s="80"/>
      <c r="D210" s="80"/>
      <c r="E210" s="80"/>
      <c r="F210" s="80"/>
      <c r="G210" s="80"/>
      <c r="H210" s="80"/>
      <c r="I210" s="80"/>
      <c r="J210" s="80"/>
    </row>
    <row r="211" spans="1:10" ht="12.75">
      <c r="A211" s="80"/>
      <c r="B211" s="80"/>
      <c r="C211" s="80"/>
      <c r="D211" s="80"/>
      <c r="E211" s="80"/>
      <c r="F211" s="80"/>
      <c r="G211" s="80"/>
      <c r="H211" s="80"/>
      <c r="I211" s="80"/>
      <c r="J211" s="80"/>
    </row>
    <row r="212" spans="1:10" ht="12.75">
      <c r="A212" s="80"/>
      <c r="B212" s="80"/>
      <c r="C212" s="80"/>
      <c r="D212" s="80"/>
      <c r="E212" s="80"/>
      <c r="F212" s="80"/>
      <c r="G212" s="80"/>
      <c r="H212" s="80"/>
      <c r="I212" s="80"/>
      <c r="J212" s="80"/>
    </row>
    <row r="213" spans="1:10" ht="12.75">
      <c r="A213" s="80"/>
      <c r="B213" s="80"/>
      <c r="C213" s="80"/>
      <c r="D213" s="80"/>
      <c r="E213" s="80"/>
      <c r="F213" s="80"/>
      <c r="G213" s="80"/>
      <c r="H213" s="80"/>
      <c r="I213" s="80"/>
      <c r="J213" s="80"/>
    </row>
    <row r="214" spans="1:10" ht="12.75">
      <c r="A214" s="80"/>
      <c r="B214" s="80"/>
      <c r="C214" s="80"/>
      <c r="D214" s="80"/>
      <c r="E214" s="80"/>
      <c r="F214" s="80"/>
      <c r="G214" s="80"/>
      <c r="H214" s="80"/>
      <c r="I214" s="80"/>
      <c r="J214" s="80"/>
    </row>
    <row r="215" spans="1:10" ht="12.75">
      <c r="A215" s="80"/>
      <c r="B215" s="80"/>
      <c r="C215" s="80"/>
      <c r="D215" s="80"/>
      <c r="E215" s="80"/>
      <c r="F215" s="80"/>
      <c r="G215" s="80"/>
      <c r="H215" s="80"/>
      <c r="I215" s="80"/>
      <c r="J215" s="80"/>
    </row>
    <row r="216" spans="1:10" ht="12.75">
      <c r="A216" s="80"/>
      <c r="B216" s="80"/>
      <c r="C216" s="80"/>
      <c r="D216" s="80"/>
      <c r="E216" s="80"/>
      <c r="F216" s="80"/>
      <c r="G216" s="80"/>
      <c r="H216" s="80"/>
      <c r="I216" s="80"/>
      <c r="J216" s="80"/>
    </row>
    <row r="217" spans="1:10" ht="12.75">
      <c r="A217" s="80"/>
      <c r="B217" s="80"/>
      <c r="C217" s="80"/>
      <c r="D217" s="80"/>
      <c r="E217" s="80"/>
      <c r="F217" s="80"/>
      <c r="G217" s="80"/>
      <c r="H217" s="80"/>
      <c r="I217" s="80"/>
      <c r="J217" s="80"/>
    </row>
    <row r="218" spans="1:10" ht="12.75">
      <c r="A218" s="80"/>
      <c r="B218" s="80"/>
      <c r="C218" s="80"/>
      <c r="D218" s="80"/>
      <c r="E218" s="80"/>
      <c r="F218" s="80"/>
      <c r="G218" s="80"/>
      <c r="H218" s="80"/>
      <c r="I218" s="80"/>
      <c r="J218" s="80"/>
    </row>
    <row r="219" spans="1:10" ht="12.75">
      <c r="A219" s="80"/>
      <c r="B219" s="80"/>
      <c r="C219" s="80"/>
      <c r="D219" s="80"/>
      <c r="E219" s="80"/>
      <c r="F219" s="80"/>
      <c r="G219" s="80"/>
      <c r="H219" s="80"/>
      <c r="I219" s="80"/>
      <c r="J219" s="80"/>
    </row>
    <row r="220" spans="1:10" ht="12.75">
      <c r="A220" s="80"/>
      <c r="B220" s="80"/>
      <c r="C220" s="80"/>
      <c r="D220" s="80"/>
      <c r="E220" s="80"/>
      <c r="F220" s="80"/>
      <c r="G220" s="80"/>
      <c r="H220" s="80"/>
      <c r="I220" s="80"/>
      <c r="J220" s="80"/>
    </row>
    <row r="221" spans="1:10" ht="12.75">
      <c r="A221" s="80"/>
      <c r="B221" s="80"/>
      <c r="C221" s="80"/>
      <c r="D221" s="80"/>
      <c r="E221" s="80"/>
      <c r="F221" s="80"/>
      <c r="G221" s="80"/>
      <c r="H221" s="80"/>
      <c r="I221" s="80"/>
      <c r="J221" s="80"/>
    </row>
    <row r="222" spans="1:10" ht="12.75">
      <c r="A222" s="80"/>
      <c r="B222" s="80"/>
      <c r="C222" s="80"/>
      <c r="D222" s="80"/>
      <c r="E222" s="80"/>
      <c r="F222" s="80"/>
      <c r="G222" s="80"/>
      <c r="H222" s="80"/>
      <c r="I222" s="80"/>
      <c r="J222" s="80"/>
    </row>
    <row r="223" spans="1:10" ht="12.75">
      <c r="A223" s="80"/>
      <c r="B223" s="80"/>
      <c r="C223" s="80"/>
      <c r="D223" s="80"/>
      <c r="E223" s="80"/>
      <c r="F223" s="80"/>
      <c r="G223" s="80"/>
      <c r="H223" s="80"/>
      <c r="I223" s="80"/>
      <c r="J223" s="80"/>
    </row>
    <row r="224" spans="1:10" ht="12.75">
      <c r="A224" s="80"/>
      <c r="B224" s="80"/>
      <c r="C224" s="80"/>
      <c r="D224" s="80"/>
      <c r="E224" s="80"/>
      <c r="F224" s="80"/>
      <c r="G224" s="80"/>
      <c r="H224" s="80"/>
      <c r="I224" s="80"/>
      <c r="J224" s="80"/>
    </row>
    <row r="225" spans="1:10" ht="12.75">
      <c r="A225" s="80"/>
      <c r="B225" s="80"/>
      <c r="C225" s="80"/>
      <c r="D225" s="80"/>
      <c r="E225" s="80"/>
      <c r="F225" s="80"/>
      <c r="G225" s="80"/>
      <c r="H225" s="80"/>
      <c r="I225" s="80"/>
      <c r="J225" s="80"/>
    </row>
    <row r="226" spans="1:10" ht="12.75">
      <c r="A226" s="80"/>
      <c r="B226" s="80"/>
      <c r="C226" s="80"/>
      <c r="D226" s="80"/>
      <c r="E226" s="80"/>
      <c r="F226" s="80"/>
      <c r="G226" s="80"/>
      <c r="H226" s="80"/>
      <c r="I226" s="80"/>
      <c r="J226" s="80"/>
    </row>
    <row r="227" spans="1:10" ht="12.75">
      <c r="A227" s="80"/>
      <c r="B227" s="80"/>
      <c r="C227" s="80"/>
      <c r="D227" s="80"/>
      <c r="E227" s="80"/>
      <c r="F227" s="80"/>
      <c r="G227" s="80"/>
      <c r="H227" s="80"/>
      <c r="I227" s="80"/>
      <c r="J227" s="80"/>
    </row>
    <row r="228" spans="1:10" ht="12.75">
      <c r="A228" s="80"/>
      <c r="B228" s="80"/>
      <c r="C228" s="80"/>
      <c r="D228" s="80"/>
      <c r="E228" s="80"/>
      <c r="F228" s="80"/>
      <c r="G228" s="80"/>
      <c r="H228" s="80"/>
      <c r="I228" s="80"/>
      <c r="J228" s="80"/>
    </row>
    <row r="229" spans="1:10" ht="12.75">
      <c r="A229" s="80"/>
      <c r="B229" s="80"/>
      <c r="C229" s="80"/>
      <c r="D229" s="80"/>
      <c r="E229" s="80"/>
      <c r="F229" s="80"/>
      <c r="G229" s="80"/>
      <c r="H229" s="80"/>
      <c r="I229" s="80"/>
      <c r="J229" s="80"/>
    </row>
    <row r="230" spans="1:10" ht="12.75">
      <c r="A230" s="80"/>
      <c r="B230" s="80"/>
      <c r="C230" s="80"/>
      <c r="D230" s="80"/>
      <c r="E230" s="80"/>
      <c r="F230" s="80"/>
      <c r="G230" s="80"/>
      <c r="H230" s="80"/>
      <c r="I230" s="80"/>
      <c r="J230" s="80"/>
    </row>
    <row r="231" spans="1:10" ht="12.75">
      <c r="A231" s="80"/>
      <c r="B231" s="80"/>
      <c r="C231" s="80"/>
      <c r="D231" s="80"/>
      <c r="E231" s="80"/>
      <c r="F231" s="80"/>
      <c r="G231" s="80"/>
      <c r="H231" s="80"/>
      <c r="I231" s="80"/>
      <c r="J231" s="80"/>
    </row>
    <row r="232" spans="1:10" ht="12.75">
      <c r="A232" s="80"/>
      <c r="B232" s="80"/>
      <c r="C232" s="80"/>
      <c r="D232" s="80"/>
      <c r="E232" s="80"/>
      <c r="F232" s="80"/>
      <c r="G232" s="80"/>
      <c r="H232" s="80"/>
      <c r="I232" s="80"/>
      <c r="J232" s="80"/>
    </row>
    <row r="233" spans="1:10" ht="12.75">
      <c r="A233" s="80"/>
      <c r="B233" s="80"/>
      <c r="C233" s="80"/>
      <c r="D233" s="80"/>
      <c r="E233" s="80"/>
      <c r="F233" s="80"/>
      <c r="G233" s="80"/>
      <c r="H233" s="80"/>
      <c r="I233" s="80"/>
      <c r="J233" s="80"/>
    </row>
    <row r="234" spans="1:10" ht="12.75">
      <c r="A234" s="80"/>
      <c r="B234" s="80"/>
      <c r="C234" s="80"/>
      <c r="D234" s="80"/>
      <c r="E234" s="80"/>
      <c r="F234" s="80"/>
      <c r="G234" s="80"/>
      <c r="H234" s="80"/>
      <c r="I234" s="80"/>
      <c r="J234" s="80"/>
    </row>
    <row r="235" spans="1:10" ht="12.75">
      <c r="A235" s="80"/>
      <c r="B235" s="80"/>
      <c r="C235" s="80"/>
      <c r="D235" s="80"/>
      <c r="E235" s="80"/>
      <c r="F235" s="80"/>
      <c r="G235" s="80"/>
      <c r="H235" s="80"/>
      <c r="I235" s="80"/>
      <c r="J235" s="80"/>
    </row>
    <row r="236" spans="1:10" ht="12.75">
      <c r="A236" s="80"/>
      <c r="B236" s="80"/>
      <c r="C236" s="80"/>
      <c r="D236" s="80"/>
      <c r="E236" s="80"/>
      <c r="F236" s="80"/>
      <c r="G236" s="80"/>
      <c r="H236" s="80"/>
      <c r="I236" s="80"/>
      <c r="J236" s="80"/>
    </row>
    <row r="237" spans="1:10" ht="12.75">
      <c r="A237" s="80"/>
      <c r="B237" s="80"/>
      <c r="C237" s="80"/>
      <c r="D237" s="80"/>
      <c r="E237" s="80"/>
      <c r="F237" s="80"/>
      <c r="G237" s="80"/>
      <c r="H237" s="80"/>
      <c r="I237" s="80"/>
      <c r="J237" s="80"/>
    </row>
    <row r="238" spans="1:10" ht="12.75">
      <c r="A238" s="80"/>
      <c r="B238" s="80"/>
      <c r="C238" s="80"/>
      <c r="D238" s="80"/>
      <c r="E238" s="80"/>
      <c r="F238" s="80"/>
      <c r="G238" s="80"/>
      <c r="H238" s="80"/>
      <c r="I238" s="80"/>
      <c r="J238" s="80"/>
    </row>
    <row r="239" spans="1:10" ht="12.75">
      <c r="A239" s="80"/>
      <c r="B239" s="80"/>
      <c r="C239" s="80"/>
      <c r="D239" s="80"/>
      <c r="E239" s="80"/>
      <c r="F239" s="80"/>
      <c r="G239" s="80"/>
      <c r="H239" s="80"/>
      <c r="I239" s="80"/>
      <c r="J239" s="80"/>
    </row>
    <row r="240" spans="1:10" ht="12.75">
      <c r="A240" s="80"/>
      <c r="B240" s="80"/>
      <c r="C240" s="80"/>
      <c r="D240" s="80"/>
      <c r="E240" s="80"/>
      <c r="F240" s="80"/>
      <c r="G240" s="80"/>
      <c r="H240" s="80"/>
      <c r="I240" s="80"/>
      <c r="J240" s="80"/>
    </row>
    <row r="241" spans="1:10" ht="12.75">
      <c r="A241" s="80"/>
      <c r="B241" s="80"/>
      <c r="C241" s="80"/>
      <c r="D241" s="80"/>
      <c r="E241" s="80"/>
      <c r="F241" s="80"/>
      <c r="G241" s="80"/>
      <c r="H241" s="80"/>
      <c r="I241" s="80"/>
      <c r="J241" s="80"/>
    </row>
    <row r="242" spans="1:10" ht="12.75">
      <c r="A242" s="80"/>
      <c r="B242" s="80"/>
      <c r="C242" s="80"/>
      <c r="D242" s="80"/>
      <c r="E242" s="80"/>
      <c r="F242" s="80"/>
      <c r="G242" s="80"/>
      <c r="H242" s="80"/>
      <c r="I242" s="80"/>
      <c r="J242" s="80"/>
    </row>
    <row r="243" spans="1:10" ht="12.75">
      <c r="A243" s="80"/>
      <c r="B243" s="80"/>
      <c r="C243" s="80"/>
      <c r="D243" s="80"/>
      <c r="E243" s="80"/>
      <c r="F243" s="80"/>
      <c r="G243" s="80"/>
      <c r="H243" s="80"/>
      <c r="I243" s="80"/>
      <c r="J243" s="80"/>
    </row>
    <row r="244" spans="1:10" ht="12.75">
      <c r="A244" s="80"/>
      <c r="B244" s="80"/>
      <c r="C244" s="80"/>
      <c r="D244" s="80"/>
      <c r="E244" s="80"/>
      <c r="F244" s="80"/>
      <c r="G244" s="80"/>
      <c r="H244" s="80"/>
      <c r="I244" s="80"/>
      <c r="J244" s="80"/>
    </row>
    <row r="245" spans="1:10" ht="12.75">
      <c r="A245" s="80"/>
      <c r="B245" s="80"/>
      <c r="C245" s="80"/>
      <c r="D245" s="80"/>
      <c r="E245" s="80"/>
      <c r="F245" s="80"/>
      <c r="G245" s="80"/>
      <c r="H245" s="80"/>
      <c r="I245" s="80"/>
      <c r="J245" s="80"/>
    </row>
    <row r="246" spans="1:10" ht="12.75">
      <c r="A246" s="80"/>
      <c r="B246" s="80"/>
      <c r="C246" s="80"/>
      <c r="D246" s="80"/>
      <c r="E246" s="80"/>
      <c r="F246" s="80"/>
      <c r="G246" s="80"/>
      <c r="H246" s="80"/>
      <c r="I246" s="80"/>
      <c r="J246" s="80"/>
    </row>
    <row r="247" spans="1:10" ht="12.75">
      <c r="A247" s="80"/>
      <c r="B247" s="80"/>
      <c r="C247" s="80"/>
      <c r="D247" s="80"/>
      <c r="E247" s="80"/>
      <c r="F247" s="80"/>
      <c r="G247" s="80"/>
      <c r="H247" s="80"/>
      <c r="I247" s="80"/>
      <c r="J247" s="80"/>
    </row>
    <row r="248" spans="1:10" ht="12.75">
      <c r="A248" s="80"/>
      <c r="B248" s="80"/>
      <c r="C248" s="80"/>
      <c r="D248" s="80"/>
      <c r="E248" s="80"/>
      <c r="F248" s="80"/>
      <c r="G248" s="80"/>
      <c r="H248" s="80"/>
      <c r="I248" s="80"/>
      <c r="J248" s="80"/>
    </row>
    <row r="249" spans="1:10" ht="12.75">
      <c r="A249" s="80"/>
      <c r="B249" s="80"/>
      <c r="C249" s="80"/>
      <c r="D249" s="80"/>
      <c r="E249" s="80"/>
      <c r="F249" s="80"/>
      <c r="G249" s="80"/>
      <c r="H249" s="80"/>
      <c r="I249" s="80"/>
      <c r="J249" s="80"/>
    </row>
    <row r="250" spans="1:10" ht="12.75">
      <c r="A250" s="80"/>
      <c r="B250" s="80"/>
      <c r="C250" s="80"/>
      <c r="D250" s="80"/>
      <c r="E250" s="80"/>
      <c r="F250" s="80"/>
      <c r="G250" s="80"/>
      <c r="H250" s="80"/>
      <c r="I250" s="80"/>
      <c r="J250" s="80"/>
    </row>
    <row r="251" spans="1:10" ht="12.75">
      <c r="A251" s="80"/>
      <c r="B251" s="80"/>
      <c r="C251" s="80"/>
      <c r="D251" s="80"/>
      <c r="E251" s="80"/>
      <c r="F251" s="80"/>
      <c r="G251" s="80"/>
      <c r="H251" s="80"/>
      <c r="I251" s="80"/>
      <c r="J251" s="80"/>
    </row>
    <row r="252" spans="1:10" ht="12.75">
      <c r="A252" s="80"/>
      <c r="B252" s="80"/>
      <c r="C252" s="80"/>
      <c r="D252" s="80"/>
      <c r="E252" s="80"/>
      <c r="F252" s="80"/>
      <c r="G252" s="80"/>
      <c r="H252" s="80"/>
      <c r="I252" s="80"/>
      <c r="J252" s="80"/>
    </row>
    <row r="253" spans="1:10" ht="12.75">
      <c r="A253" s="80"/>
      <c r="B253" s="80"/>
      <c r="C253" s="80"/>
      <c r="D253" s="80"/>
      <c r="E253" s="80"/>
      <c r="F253" s="80"/>
      <c r="G253" s="80"/>
      <c r="H253" s="80"/>
      <c r="I253" s="80"/>
      <c r="J253" s="80"/>
    </row>
    <row r="254" spans="1:10" ht="12.75">
      <c r="A254" s="80"/>
      <c r="B254" s="80"/>
      <c r="C254" s="80"/>
      <c r="D254" s="80"/>
      <c r="E254" s="80"/>
      <c r="F254" s="80"/>
      <c r="G254" s="80"/>
      <c r="H254" s="80"/>
      <c r="I254" s="80"/>
      <c r="J254" s="80"/>
    </row>
    <row r="255" spans="1:10" ht="12.75">
      <c r="A255" s="80"/>
      <c r="B255" s="80"/>
      <c r="C255" s="80"/>
      <c r="D255" s="80"/>
      <c r="E255" s="80"/>
      <c r="F255" s="80"/>
      <c r="G255" s="80"/>
      <c r="H255" s="80"/>
      <c r="I255" s="80"/>
      <c r="J255" s="80"/>
    </row>
    <row r="256" spans="1:10" ht="12.75">
      <c r="A256" s="80"/>
      <c r="B256" s="80"/>
      <c r="C256" s="80"/>
      <c r="D256" s="80"/>
      <c r="E256" s="80"/>
      <c r="F256" s="80"/>
      <c r="G256" s="80"/>
      <c r="H256" s="80"/>
      <c r="I256" s="80"/>
      <c r="J256" s="80"/>
    </row>
    <row r="257" spans="1:10" ht="12.75">
      <c r="A257" s="80"/>
      <c r="B257" s="80"/>
      <c r="C257" s="80"/>
      <c r="D257" s="80"/>
      <c r="E257" s="80"/>
      <c r="F257" s="80"/>
      <c r="G257" s="80"/>
      <c r="H257" s="80"/>
      <c r="I257" s="80"/>
      <c r="J257" s="80"/>
    </row>
    <row r="258" spans="1:10" ht="12.75">
      <c r="A258" s="80"/>
      <c r="B258" s="80"/>
      <c r="C258" s="80"/>
      <c r="D258" s="80"/>
      <c r="E258" s="80"/>
      <c r="F258" s="80"/>
      <c r="G258" s="80"/>
      <c r="H258" s="80"/>
      <c r="I258" s="80"/>
      <c r="J258" s="80"/>
    </row>
    <row r="259" spans="1:10" ht="12.75">
      <c r="A259" s="80"/>
      <c r="B259" s="80"/>
      <c r="C259" s="80"/>
      <c r="D259" s="80"/>
      <c r="E259" s="80"/>
      <c r="F259" s="80"/>
      <c r="G259" s="80"/>
      <c r="H259" s="80"/>
      <c r="I259" s="80"/>
      <c r="J259" s="80"/>
    </row>
    <row r="260" spans="1:10" ht="12.75">
      <c r="A260" s="80"/>
      <c r="B260" s="80"/>
      <c r="C260" s="80"/>
      <c r="D260" s="80"/>
      <c r="E260" s="80"/>
      <c r="F260" s="80"/>
      <c r="G260" s="80"/>
      <c r="H260" s="80"/>
      <c r="I260" s="80"/>
      <c r="J260" s="80"/>
    </row>
    <row r="261" spans="1:10" ht="12.75">
      <c r="A261" s="80"/>
      <c r="B261" s="80"/>
      <c r="C261" s="80"/>
      <c r="D261" s="80"/>
      <c r="E261" s="80"/>
      <c r="F261" s="80"/>
      <c r="G261" s="80"/>
      <c r="H261" s="80"/>
      <c r="I261" s="80"/>
      <c r="J261" s="80"/>
    </row>
    <row r="262" spans="1:10" ht="12.75">
      <c r="A262" s="80"/>
      <c r="B262" s="80"/>
      <c r="C262" s="80"/>
      <c r="D262" s="80"/>
      <c r="E262" s="80"/>
      <c r="F262" s="80"/>
      <c r="G262" s="80"/>
      <c r="H262" s="80"/>
      <c r="I262" s="80"/>
      <c r="J262" s="80"/>
    </row>
    <row r="263" spans="1:10" ht="12.75">
      <c r="A263" s="80"/>
      <c r="B263" s="80"/>
      <c r="C263" s="80"/>
      <c r="D263" s="80"/>
      <c r="E263" s="80"/>
      <c r="F263" s="80"/>
      <c r="G263" s="80"/>
      <c r="H263" s="80"/>
      <c r="I263" s="80"/>
      <c r="J263" s="80"/>
    </row>
    <row r="264" spans="1:10" ht="12.75">
      <c r="A264" s="80"/>
      <c r="B264" s="80"/>
      <c r="C264" s="80"/>
      <c r="D264" s="80"/>
      <c r="E264" s="80"/>
      <c r="F264" s="80"/>
      <c r="G264" s="80"/>
      <c r="H264" s="80"/>
      <c r="I264" s="80"/>
      <c r="J264" s="80"/>
    </row>
    <row r="265" spans="1:10" ht="12.75">
      <c r="A265" s="80"/>
      <c r="B265" s="80"/>
      <c r="C265" s="80"/>
      <c r="D265" s="80"/>
      <c r="E265" s="80"/>
      <c r="F265" s="80"/>
      <c r="G265" s="80"/>
      <c r="H265" s="80"/>
      <c r="I265" s="80"/>
      <c r="J265" s="80"/>
    </row>
    <row r="266" spans="1:10" ht="12.75">
      <c r="A266" s="80"/>
      <c r="B266" s="80"/>
      <c r="C266" s="80"/>
      <c r="D266" s="80"/>
      <c r="E266" s="80"/>
      <c r="F266" s="80"/>
      <c r="G266" s="80"/>
      <c r="H266" s="80"/>
      <c r="I266" s="80"/>
      <c r="J266" s="80"/>
    </row>
    <row r="267" spans="1:10" ht="12.75">
      <c r="A267" s="80"/>
      <c r="B267" s="80"/>
      <c r="C267" s="80"/>
      <c r="D267" s="80"/>
      <c r="E267" s="80"/>
      <c r="F267" s="80"/>
      <c r="G267" s="80"/>
      <c r="H267" s="80"/>
      <c r="I267" s="80"/>
      <c r="J267" s="80"/>
    </row>
    <row r="268" spans="1:10" ht="12.75">
      <c r="A268" s="80"/>
      <c r="B268" s="80"/>
      <c r="C268" s="80"/>
      <c r="D268" s="80"/>
      <c r="E268" s="80"/>
      <c r="F268" s="80"/>
      <c r="G268" s="80"/>
      <c r="H268" s="80"/>
      <c r="I268" s="80"/>
      <c r="J268" s="80"/>
    </row>
    <row r="269" spans="1:10" ht="12.75">
      <c r="A269" s="80"/>
      <c r="B269" s="80"/>
      <c r="C269" s="80"/>
      <c r="D269" s="80"/>
      <c r="E269" s="80"/>
      <c r="F269" s="80"/>
      <c r="G269" s="80"/>
      <c r="H269" s="80"/>
      <c r="I269" s="80"/>
      <c r="J269" s="80"/>
    </row>
    <row r="270" spans="1:10" ht="12.75">
      <c r="A270" s="80"/>
      <c r="B270" s="80"/>
      <c r="C270" s="80"/>
      <c r="D270" s="80"/>
      <c r="E270" s="80"/>
      <c r="F270" s="80"/>
      <c r="G270" s="80"/>
      <c r="H270" s="80"/>
      <c r="I270" s="80"/>
      <c r="J270" s="80"/>
    </row>
    <row r="271" spans="1:10" ht="12.75">
      <c r="A271" s="80"/>
      <c r="B271" s="80"/>
      <c r="C271" s="80"/>
      <c r="D271" s="80"/>
      <c r="E271" s="80"/>
      <c r="F271" s="80"/>
      <c r="G271" s="80"/>
      <c r="H271" s="80"/>
      <c r="I271" s="80"/>
      <c r="J271" s="80"/>
    </row>
    <row r="272" spans="1:10" ht="12.75">
      <c r="A272" s="80"/>
      <c r="B272" s="80"/>
      <c r="C272" s="80"/>
      <c r="D272" s="80"/>
      <c r="E272" s="80"/>
      <c r="F272" s="80"/>
      <c r="G272" s="80"/>
      <c r="H272" s="80"/>
      <c r="I272" s="80"/>
      <c r="J272" s="80"/>
    </row>
    <row r="273" spans="1:10" ht="12.75">
      <c r="A273" s="80"/>
      <c r="B273" s="80"/>
      <c r="C273" s="80"/>
      <c r="D273" s="80"/>
      <c r="E273" s="80"/>
      <c r="F273" s="80"/>
      <c r="G273" s="80"/>
      <c r="H273" s="80"/>
      <c r="I273" s="80"/>
      <c r="J273" s="80"/>
    </row>
    <row r="274" spans="1:10" ht="12.75">
      <c r="A274" s="80"/>
      <c r="B274" s="80"/>
      <c r="C274" s="80"/>
      <c r="D274" s="80"/>
      <c r="E274" s="80"/>
      <c r="F274" s="80"/>
      <c r="G274" s="80"/>
      <c r="H274" s="80"/>
      <c r="I274" s="80"/>
      <c r="J274" s="80"/>
    </row>
    <row r="275" spans="1:10" ht="12.75">
      <c r="A275" s="80"/>
      <c r="B275" s="80"/>
      <c r="C275" s="80"/>
      <c r="D275" s="80"/>
      <c r="E275" s="80"/>
      <c r="F275" s="80"/>
      <c r="G275" s="80"/>
      <c r="H275" s="80"/>
      <c r="I275" s="80"/>
      <c r="J275" s="80"/>
    </row>
    <row r="276" spans="1:10" ht="12.75">
      <c r="A276" s="80"/>
      <c r="B276" s="80"/>
      <c r="C276" s="80"/>
      <c r="D276" s="80"/>
      <c r="E276" s="80"/>
      <c r="F276" s="80"/>
      <c r="G276" s="80"/>
      <c r="H276" s="80"/>
      <c r="I276" s="80"/>
      <c r="J276" s="80"/>
    </row>
    <row r="277" spans="1:10" ht="12.75">
      <c r="A277" s="80"/>
      <c r="B277" s="80"/>
      <c r="C277" s="80"/>
      <c r="D277" s="80"/>
      <c r="E277" s="80"/>
      <c r="F277" s="80"/>
      <c r="G277" s="80"/>
      <c r="H277" s="80"/>
      <c r="I277" s="80"/>
      <c r="J277" s="80"/>
    </row>
    <row r="278" spans="1:10" ht="12.75">
      <c r="A278" s="80"/>
      <c r="B278" s="80"/>
      <c r="C278" s="80"/>
      <c r="D278" s="80"/>
      <c r="E278" s="80"/>
      <c r="F278" s="80"/>
      <c r="G278" s="80"/>
      <c r="H278" s="80"/>
      <c r="I278" s="80"/>
      <c r="J278" s="80"/>
    </row>
    <row r="279" spans="1:10" ht="12.75">
      <c r="A279" s="80"/>
      <c r="B279" s="80"/>
      <c r="C279" s="80"/>
      <c r="D279" s="80"/>
      <c r="E279" s="80"/>
      <c r="F279" s="80"/>
      <c r="G279" s="80"/>
      <c r="H279" s="80"/>
      <c r="I279" s="80"/>
      <c r="J279" s="80"/>
    </row>
    <row r="280" spans="1:10" ht="12.75">
      <c r="A280" s="80"/>
      <c r="B280" s="80"/>
      <c r="C280" s="80"/>
      <c r="D280" s="80"/>
      <c r="E280" s="80"/>
      <c r="F280" s="80"/>
      <c r="G280" s="80"/>
      <c r="H280" s="80"/>
      <c r="I280" s="80"/>
      <c r="J280" s="80"/>
    </row>
    <row r="281" spans="1:10" ht="12.75">
      <c r="A281" s="80"/>
      <c r="B281" s="80"/>
      <c r="C281" s="80"/>
      <c r="D281" s="80"/>
      <c r="E281" s="80"/>
      <c r="F281" s="80"/>
      <c r="G281" s="80"/>
      <c r="H281" s="80"/>
      <c r="I281" s="80"/>
      <c r="J281" s="80"/>
    </row>
    <row r="282" spans="1:10" ht="12.75">
      <c r="A282" s="80"/>
      <c r="B282" s="80"/>
      <c r="C282" s="80"/>
      <c r="D282" s="80"/>
      <c r="E282" s="80"/>
      <c r="F282" s="80"/>
      <c r="G282" s="80"/>
      <c r="H282" s="80"/>
      <c r="I282" s="80"/>
      <c r="J282" s="80"/>
    </row>
    <row r="283" spans="1:10" ht="12.75">
      <c r="A283" s="80"/>
      <c r="B283" s="80"/>
      <c r="C283" s="80"/>
      <c r="D283" s="80"/>
      <c r="E283" s="80"/>
      <c r="F283" s="80"/>
      <c r="G283" s="80"/>
      <c r="H283" s="80"/>
      <c r="I283" s="80"/>
      <c r="J283" s="80"/>
    </row>
    <row r="284" spans="1:10" ht="12.75">
      <c r="A284" s="80"/>
      <c r="B284" s="80"/>
      <c r="C284" s="80"/>
      <c r="D284" s="80"/>
      <c r="E284" s="80"/>
      <c r="F284" s="80"/>
      <c r="G284" s="80"/>
      <c r="H284" s="80"/>
      <c r="I284" s="80"/>
      <c r="J284" s="80"/>
    </row>
    <row r="285" spans="1:10" ht="12.75">
      <c r="A285" s="80"/>
      <c r="B285" s="80"/>
      <c r="C285" s="80"/>
      <c r="D285" s="80"/>
      <c r="E285" s="80"/>
      <c r="F285" s="80"/>
      <c r="G285" s="80"/>
      <c r="H285" s="80"/>
      <c r="I285" s="80"/>
      <c r="J285" s="80"/>
    </row>
    <row r="286" spans="1:10" ht="12.75">
      <c r="A286" s="80"/>
      <c r="B286" s="80"/>
      <c r="C286" s="80"/>
      <c r="D286" s="80"/>
      <c r="E286" s="80"/>
      <c r="F286" s="80"/>
      <c r="G286" s="80"/>
      <c r="H286" s="80"/>
      <c r="I286" s="80"/>
      <c r="J286" s="80"/>
    </row>
    <row r="287" spans="1:10" ht="12.75">
      <c r="A287" s="80"/>
      <c r="B287" s="80"/>
      <c r="C287" s="80"/>
      <c r="D287" s="80"/>
      <c r="E287" s="80"/>
      <c r="F287" s="80"/>
      <c r="G287" s="80"/>
      <c r="H287" s="80"/>
      <c r="I287" s="80"/>
      <c r="J287" s="80"/>
    </row>
    <row r="288" spans="1:10" ht="12.75">
      <c r="A288" s="80"/>
      <c r="B288" s="80"/>
      <c r="C288" s="80"/>
      <c r="D288" s="80"/>
      <c r="E288" s="80"/>
      <c r="F288" s="80"/>
      <c r="G288" s="80"/>
      <c r="H288" s="80"/>
      <c r="I288" s="80"/>
      <c r="J288" s="80"/>
    </row>
    <row r="289" spans="1:10" ht="12.75">
      <c r="A289" s="80"/>
      <c r="B289" s="80"/>
      <c r="C289" s="80"/>
      <c r="D289" s="80"/>
      <c r="E289" s="80"/>
      <c r="F289" s="80"/>
      <c r="G289" s="80"/>
      <c r="H289" s="80"/>
      <c r="I289" s="80"/>
      <c r="J289" s="80"/>
    </row>
    <row r="290" spans="1:10" ht="12.75">
      <c r="A290" s="80"/>
      <c r="B290" s="80"/>
      <c r="C290" s="80"/>
      <c r="D290" s="80"/>
      <c r="E290" s="80"/>
      <c r="F290" s="80"/>
      <c r="G290" s="80"/>
      <c r="H290" s="80"/>
      <c r="I290" s="80"/>
      <c r="J290" s="80"/>
    </row>
    <row r="291" spans="1:10" ht="12.75">
      <c r="A291" s="80"/>
      <c r="B291" s="80"/>
      <c r="C291" s="80"/>
      <c r="D291" s="80"/>
      <c r="E291" s="80"/>
      <c r="F291" s="80"/>
      <c r="G291" s="80"/>
      <c r="H291" s="80"/>
      <c r="I291" s="80"/>
      <c r="J291" s="80"/>
    </row>
    <row r="292" spans="1:10" ht="12.75">
      <c r="A292" s="80"/>
      <c r="B292" s="80"/>
      <c r="C292" s="80"/>
      <c r="D292" s="80"/>
      <c r="E292" s="80"/>
      <c r="F292" s="80"/>
      <c r="G292" s="80"/>
      <c r="H292" s="80"/>
      <c r="I292" s="80"/>
      <c r="J292" s="80"/>
    </row>
    <row r="293" spans="1:10" ht="12.75">
      <c r="A293" s="80"/>
      <c r="B293" s="80"/>
      <c r="C293" s="80"/>
      <c r="D293" s="80"/>
      <c r="E293" s="80"/>
      <c r="F293" s="80"/>
      <c r="G293" s="80"/>
      <c r="H293" s="80"/>
      <c r="I293" s="80"/>
      <c r="J293" s="80"/>
    </row>
    <row r="294" spans="1:10" ht="12.75">
      <c r="A294" s="80"/>
      <c r="B294" s="80"/>
      <c r="C294" s="80"/>
      <c r="D294" s="80"/>
      <c r="E294" s="80"/>
      <c r="F294" s="80"/>
      <c r="G294" s="80"/>
      <c r="H294" s="80"/>
      <c r="I294" s="80"/>
      <c r="J294" s="80"/>
    </row>
    <row r="295" spans="1:10" ht="12.75">
      <c r="A295" s="80"/>
      <c r="B295" s="80"/>
      <c r="C295" s="80"/>
      <c r="D295" s="80"/>
      <c r="E295" s="80"/>
      <c r="F295" s="80"/>
      <c r="G295" s="80"/>
      <c r="H295" s="80"/>
      <c r="I295" s="80"/>
      <c r="J295" s="80"/>
    </row>
    <row r="296" spans="1:10" ht="12.75">
      <c r="A296" s="80"/>
      <c r="B296" s="80"/>
      <c r="C296" s="80"/>
      <c r="D296" s="80"/>
      <c r="E296" s="80"/>
      <c r="F296" s="80"/>
      <c r="G296" s="80"/>
      <c r="H296" s="80"/>
      <c r="I296" s="80"/>
      <c r="J296" s="80"/>
    </row>
    <row r="297" spans="1:10" ht="12.75">
      <c r="A297" s="80"/>
      <c r="B297" s="80"/>
      <c r="C297" s="80"/>
      <c r="D297" s="80"/>
      <c r="E297" s="80"/>
      <c r="F297" s="80"/>
      <c r="G297" s="80"/>
      <c r="H297" s="80"/>
      <c r="I297" s="80"/>
      <c r="J297" s="80"/>
    </row>
    <row r="298" spans="1:10" ht="12.75">
      <c r="A298" s="80"/>
      <c r="B298" s="80"/>
      <c r="C298" s="80"/>
      <c r="D298" s="80"/>
      <c r="E298" s="80"/>
      <c r="F298" s="80"/>
      <c r="G298" s="80"/>
      <c r="H298" s="80"/>
      <c r="I298" s="80"/>
      <c r="J298" s="80"/>
    </row>
    <row r="299" spans="1:10" ht="12.75">
      <c r="A299" s="80"/>
      <c r="B299" s="80"/>
      <c r="C299" s="80"/>
      <c r="D299" s="80"/>
      <c r="E299" s="80"/>
      <c r="F299" s="80"/>
      <c r="G299" s="80"/>
      <c r="H299" s="80"/>
      <c r="I299" s="80"/>
      <c r="J299" s="80"/>
    </row>
    <row r="300" spans="1:10" ht="12.75">
      <c r="A300" s="80"/>
      <c r="B300" s="80"/>
      <c r="C300" s="80"/>
      <c r="D300" s="80"/>
      <c r="E300" s="80"/>
      <c r="F300" s="80"/>
      <c r="G300" s="80"/>
      <c r="H300" s="80"/>
      <c r="I300" s="80"/>
      <c r="J300" s="80"/>
    </row>
    <row r="301" spans="1:10" ht="12.75">
      <c r="A301" s="80"/>
      <c r="B301" s="80"/>
      <c r="C301" s="80"/>
      <c r="D301" s="80"/>
      <c r="E301" s="80"/>
      <c r="F301" s="80"/>
      <c r="G301" s="80"/>
      <c r="H301" s="80"/>
      <c r="I301" s="80"/>
      <c r="J301" s="80"/>
    </row>
    <row r="302" spans="1:10" ht="12.75">
      <c r="A302" s="80"/>
      <c r="B302" s="80"/>
      <c r="C302" s="80"/>
      <c r="D302" s="80"/>
      <c r="E302" s="80"/>
      <c r="F302" s="80"/>
      <c r="G302" s="80"/>
      <c r="H302" s="80"/>
      <c r="I302" s="80"/>
      <c r="J302" s="80"/>
    </row>
    <row r="303" spans="1:10" ht="12.75">
      <c r="A303" s="80"/>
      <c r="B303" s="80"/>
      <c r="C303" s="80"/>
      <c r="D303" s="80"/>
      <c r="E303" s="80"/>
      <c r="F303" s="80"/>
      <c r="G303" s="80"/>
      <c r="H303" s="80"/>
      <c r="I303" s="80"/>
      <c r="J303" s="80"/>
    </row>
    <row r="304" spans="1:10" ht="12.75">
      <c r="A304" s="80"/>
      <c r="B304" s="80"/>
      <c r="C304" s="80"/>
      <c r="D304" s="80"/>
      <c r="E304" s="80"/>
      <c r="F304" s="80"/>
      <c r="G304" s="80"/>
      <c r="H304" s="80"/>
      <c r="I304" s="80"/>
      <c r="J304" s="80"/>
    </row>
    <row r="305" spans="1:10" ht="12.75">
      <c r="A305" s="80"/>
      <c r="B305" s="80"/>
      <c r="C305" s="80"/>
      <c r="D305" s="80"/>
      <c r="E305" s="80"/>
      <c r="F305" s="80"/>
      <c r="G305" s="80"/>
      <c r="H305" s="80"/>
      <c r="I305" s="80"/>
      <c r="J305" s="80"/>
    </row>
    <row r="306" spans="1:10" ht="12.75">
      <c r="A306" s="80"/>
      <c r="B306" s="80"/>
      <c r="C306" s="80"/>
      <c r="D306" s="80"/>
      <c r="E306" s="80"/>
      <c r="F306" s="80"/>
      <c r="G306" s="80"/>
      <c r="H306" s="80"/>
      <c r="I306" s="80"/>
      <c r="J306" s="80"/>
    </row>
    <row r="307" spans="1:10" ht="12.75">
      <c r="A307" s="80"/>
      <c r="B307" s="80"/>
      <c r="C307" s="80"/>
      <c r="D307" s="80"/>
      <c r="E307" s="80"/>
      <c r="F307" s="80"/>
      <c r="G307" s="80"/>
      <c r="H307" s="80"/>
      <c r="I307" s="80"/>
      <c r="J307" s="80"/>
    </row>
    <row r="308" spans="1:10" ht="12.75">
      <c r="A308" s="80"/>
      <c r="B308" s="80"/>
      <c r="C308" s="80"/>
      <c r="D308" s="80"/>
      <c r="E308" s="80"/>
      <c r="F308" s="80"/>
      <c r="G308" s="80"/>
      <c r="H308" s="80"/>
      <c r="I308" s="80"/>
      <c r="J308" s="80"/>
    </row>
    <row r="309" spans="1:10" ht="12.75">
      <c r="A309" s="80"/>
      <c r="B309" s="80"/>
      <c r="C309" s="80"/>
      <c r="D309" s="80"/>
      <c r="E309" s="80"/>
      <c r="F309" s="80"/>
      <c r="G309" s="80"/>
      <c r="H309" s="80"/>
      <c r="I309" s="80"/>
      <c r="J309" s="80"/>
    </row>
    <row r="310" spans="1:10" ht="12.75">
      <c r="A310" s="80"/>
      <c r="B310" s="80"/>
      <c r="C310" s="80"/>
      <c r="D310" s="80"/>
      <c r="E310" s="80"/>
      <c r="F310" s="80"/>
      <c r="G310" s="80"/>
      <c r="H310" s="80"/>
      <c r="I310" s="80"/>
      <c r="J310" s="80"/>
    </row>
    <row r="311" spans="1:10" ht="12.75">
      <c r="A311" s="80"/>
      <c r="B311" s="80"/>
      <c r="C311" s="80"/>
      <c r="D311" s="80"/>
      <c r="E311" s="80"/>
      <c r="F311" s="80"/>
      <c r="G311" s="80"/>
      <c r="H311" s="80"/>
      <c r="I311" s="80"/>
      <c r="J311" s="80"/>
    </row>
    <row r="312" spans="1:10" ht="12.75">
      <c r="A312" s="80"/>
      <c r="B312" s="80"/>
      <c r="C312" s="80"/>
      <c r="D312" s="80"/>
      <c r="E312" s="80"/>
      <c r="F312" s="80"/>
      <c r="G312" s="80"/>
      <c r="H312" s="80"/>
      <c r="I312" s="80"/>
      <c r="J312" s="80"/>
    </row>
    <row r="313" spans="1:10" ht="12.75">
      <c r="A313" s="80"/>
      <c r="B313" s="80"/>
      <c r="C313" s="80"/>
      <c r="D313" s="80"/>
      <c r="E313" s="80"/>
      <c r="F313" s="80"/>
      <c r="G313" s="80"/>
      <c r="H313" s="80"/>
      <c r="I313" s="80"/>
      <c r="J313" s="80"/>
    </row>
    <row r="314" spans="1:10" ht="12.75">
      <c r="A314" s="80"/>
      <c r="B314" s="80"/>
      <c r="C314" s="80"/>
      <c r="D314" s="80"/>
      <c r="E314" s="80"/>
      <c r="F314" s="80"/>
      <c r="G314" s="80"/>
      <c r="H314" s="80"/>
      <c r="I314" s="80"/>
      <c r="J314" s="80"/>
    </row>
    <row r="315" spans="1:10" ht="12.75">
      <c r="A315" s="80"/>
      <c r="B315" s="80"/>
      <c r="C315" s="80"/>
      <c r="D315" s="80"/>
      <c r="E315" s="80"/>
      <c r="F315" s="80"/>
      <c r="G315" s="80"/>
      <c r="H315" s="80"/>
      <c r="I315" s="80"/>
      <c r="J315" s="80"/>
    </row>
    <row r="316" spans="1:10" ht="12.75">
      <c r="A316" s="80"/>
      <c r="B316" s="80"/>
      <c r="C316" s="80"/>
      <c r="D316" s="80"/>
      <c r="E316" s="80"/>
      <c r="F316" s="80"/>
      <c r="G316" s="80"/>
      <c r="H316" s="80"/>
      <c r="I316" s="80"/>
      <c r="J316" s="80"/>
    </row>
    <row r="317" spans="1:10" ht="12.75">
      <c r="A317" s="80"/>
      <c r="B317" s="80"/>
      <c r="C317" s="80"/>
      <c r="D317" s="80"/>
      <c r="E317" s="80"/>
      <c r="F317" s="80"/>
      <c r="G317" s="80"/>
      <c r="H317" s="80"/>
      <c r="I317" s="80"/>
      <c r="J317" s="80"/>
    </row>
    <row r="318" spans="1:10" ht="12.75">
      <c r="A318" s="80"/>
      <c r="B318" s="80"/>
      <c r="C318" s="80"/>
      <c r="D318" s="80"/>
      <c r="E318" s="80"/>
      <c r="F318" s="80"/>
      <c r="G318" s="80"/>
      <c r="H318" s="80"/>
      <c r="I318" s="80"/>
      <c r="J318" s="80"/>
    </row>
    <row r="319" spans="1:10" ht="12.75">
      <c r="A319" s="80"/>
      <c r="B319" s="80"/>
      <c r="C319" s="80"/>
      <c r="D319" s="80"/>
      <c r="E319" s="80"/>
      <c r="F319" s="80"/>
      <c r="G319" s="80"/>
      <c r="H319" s="80"/>
      <c r="I319" s="80"/>
      <c r="J319" s="80"/>
    </row>
    <row r="320" spans="1:10" ht="12.75">
      <c r="A320" s="80"/>
      <c r="B320" s="80"/>
      <c r="C320" s="80"/>
      <c r="D320" s="80"/>
      <c r="E320" s="80"/>
      <c r="F320" s="80"/>
      <c r="G320" s="80"/>
      <c r="H320" s="80"/>
      <c r="I320" s="80"/>
      <c r="J320" s="80"/>
    </row>
    <row r="321" spans="1:10" ht="12.75">
      <c r="A321" s="80"/>
      <c r="B321" s="80"/>
      <c r="C321" s="80"/>
      <c r="D321" s="80"/>
      <c r="E321" s="80"/>
      <c r="F321" s="80"/>
      <c r="G321" s="80"/>
      <c r="H321" s="80"/>
      <c r="I321" s="80"/>
      <c r="J321" s="80"/>
    </row>
    <row r="322" spans="1:10" ht="12.75">
      <c r="A322" s="80"/>
      <c r="B322" s="80"/>
      <c r="C322" s="80"/>
      <c r="D322" s="80"/>
      <c r="E322" s="80"/>
      <c r="F322" s="80"/>
      <c r="G322" s="80"/>
      <c r="H322" s="80"/>
      <c r="I322" s="80"/>
      <c r="J322" s="80"/>
    </row>
    <row r="323" spans="1:10" ht="12.75">
      <c r="A323" s="80"/>
      <c r="B323" s="80"/>
      <c r="C323" s="80"/>
      <c r="D323" s="80"/>
      <c r="E323" s="80"/>
      <c r="F323" s="80"/>
      <c r="G323" s="80"/>
      <c r="H323" s="80"/>
      <c r="I323" s="80"/>
      <c r="J323" s="80"/>
    </row>
    <row r="324" spans="1:10" ht="12.75">
      <c r="A324" s="80"/>
      <c r="B324" s="80"/>
      <c r="C324" s="80"/>
      <c r="D324" s="80"/>
      <c r="E324" s="80"/>
      <c r="F324" s="80"/>
      <c r="G324" s="80"/>
      <c r="H324" s="80"/>
      <c r="I324" s="80"/>
      <c r="J324" s="80"/>
    </row>
    <row r="325" spans="1:10" ht="12.75">
      <c r="A325" s="80"/>
      <c r="B325" s="80"/>
      <c r="C325" s="80"/>
      <c r="D325" s="80"/>
      <c r="E325" s="80"/>
      <c r="F325" s="80"/>
      <c r="G325" s="80"/>
      <c r="H325" s="80"/>
      <c r="I325" s="80"/>
      <c r="J325" s="80"/>
    </row>
    <row r="326" spans="1:10" ht="12.75">
      <c r="A326" s="80"/>
      <c r="B326" s="80"/>
      <c r="C326" s="80"/>
      <c r="D326" s="80"/>
      <c r="E326" s="80"/>
      <c r="F326" s="80"/>
      <c r="G326" s="80"/>
      <c r="H326" s="80"/>
      <c r="I326" s="80"/>
      <c r="J326" s="80"/>
    </row>
    <row r="327" spans="1:10" ht="12.75">
      <c r="A327" s="80"/>
      <c r="B327" s="80"/>
      <c r="C327" s="80"/>
      <c r="D327" s="80"/>
      <c r="E327" s="80"/>
      <c r="F327" s="80"/>
      <c r="G327" s="80"/>
      <c r="H327" s="80"/>
      <c r="I327" s="80"/>
      <c r="J327" s="80"/>
    </row>
    <row r="328" spans="1:10" ht="12.75">
      <c r="A328" s="80"/>
      <c r="B328" s="80"/>
      <c r="C328" s="80"/>
      <c r="D328" s="80"/>
      <c r="E328" s="80"/>
      <c r="F328" s="80"/>
      <c r="G328" s="80"/>
      <c r="H328" s="80"/>
      <c r="I328" s="80"/>
      <c r="J328" s="80"/>
    </row>
    <row r="329" spans="1:10" ht="12.75">
      <c r="A329" s="80"/>
      <c r="B329" s="80"/>
      <c r="C329" s="80"/>
      <c r="D329" s="80"/>
      <c r="E329" s="80"/>
      <c r="F329" s="80"/>
      <c r="G329" s="80"/>
      <c r="H329" s="80"/>
      <c r="I329" s="80"/>
      <c r="J329" s="80"/>
    </row>
    <row r="330" spans="1:10" ht="12.75">
      <c r="A330" s="80"/>
      <c r="B330" s="80"/>
      <c r="C330" s="80"/>
      <c r="D330" s="80"/>
      <c r="E330" s="80"/>
      <c r="F330" s="80"/>
      <c r="G330" s="80"/>
      <c r="H330" s="80"/>
      <c r="I330" s="80"/>
      <c r="J330" s="80"/>
    </row>
    <row r="331" spans="1:10" ht="12.75">
      <c r="A331" s="80"/>
      <c r="B331" s="80"/>
      <c r="C331" s="80"/>
      <c r="D331" s="80"/>
      <c r="E331" s="80"/>
      <c r="F331" s="80"/>
      <c r="G331" s="80"/>
      <c r="H331" s="80"/>
      <c r="I331" s="80"/>
      <c r="J331" s="80"/>
    </row>
    <row r="332" spans="1:10" ht="12.75">
      <c r="A332" s="80"/>
      <c r="B332" s="80"/>
      <c r="C332" s="80"/>
      <c r="D332" s="80"/>
      <c r="E332" s="80"/>
      <c r="F332" s="80"/>
      <c r="G332" s="80"/>
      <c r="H332" s="80"/>
      <c r="I332" s="80"/>
      <c r="J332" s="80"/>
    </row>
    <row r="333" spans="1:10" ht="12.75">
      <c r="A333" s="80"/>
      <c r="B333" s="80"/>
      <c r="C333" s="80"/>
      <c r="D333" s="80"/>
      <c r="E333" s="80"/>
      <c r="F333" s="80"/>
      <c r="G333" s="80"/>
      <c r="H333" s="80"/>
      <c r="I333" s="80"/>
      <c r="J333" s="80"/>
    </row>
    <row r="334" spans="1:10" ht="12.75">
      <c r="A334" s="80"/>
      <c r="B334" s="80"/>
      <c r="C334" s="80"/>
      <c r="D334" s="80"/>
      <c r="E334" s="80"/>
      <c r="F334" s="80"/>
      <c r="G334" s="80"/>
      <c r="H334" s="80"/>
      <c r="I334" s="80"/>
      <c r="J334" s="80"/>
    </row>
    <row r="335" spans="1:10" ht="12.75">
      <c r="A335" s="80"/>
      <c r="B335" s="80"/>
      <c r="C335" s="80"/>
      <c r="D335" s="80"/>
      <c r="E335" s="80"/>
      <c r="F335" s="80"/>
      <c r="G335" s="80"/>
      <c r="H335" s="80"/>
      <c r="I335" s="80"/>
      <c r="J335" s="80"/>
    </row>
    <row r="336" spans="1:10" ht="12.75">
      <c r="A336" s="80"/>
      <c r="B336" s="80"/>
      <c r="C336" s="80"/>
      <c r="D336" s="80"/>
      <c r="E336" s="80"/>
      <c r="F336" s="80"/>
      <c r="G336" s="80"/>
      <c r="H336" s="80"/>
      <c r="I336" s="80"/>
      <c r="J336" s="80"/>
    </row>
    <row r="337" spans="1:10" ht="12.75">
      <c r="A337" s="80"/>
      <c r="B337" s="80"/>
      <c r="C337" s="80"/>
      <c r="D337" s="80"/>
      <c r="E337" s="80"/>
      <c r="F337" s="80"/>
      <c r="G337" s="80"/>
      <c r="H337" s="80"/>
      <c r="I337" s="80"/>
      <c r="J337" s="80"/>
    </row>
    <row r="338" spans="1:10" ht="12.75">
      <c r="A338" s="80"/>
      <c r="B338" s="80"/>
      <c r="C338" s="80"/>
      <c r="D338" s="80"/>
      <c r="E338" s="80"/>
      <c r="F338" s="80"/>
      <c r="G338" s="80"/>
      <c r="H338" s="80"/>
      <c r="I338" s="80"/>
      <c r="J338" s="80"/>
    </row>
    <row r="339" spans="1:10" ht="12.75">
      <c r="A339" s="80"/>
      <c r="B339" s="80"/>
      <c r="C339" s="80"/>
      <c r="D339" s="80"/>
      <c r="E339" s="80"/>
      <c r="F339" s="80"/>
      <c r="G339" s="80"/>
      <c r="H339" s="80"/>
      <c r="I339" s="80"/>
      <c r="J339" s="80"/>
    </row>
    <row r="340" spans="1:10" ht="12.75">
      <c r="A340" s="80"/>
      <c r="B340" s="80"/>
      <c r="C340" s="80"/>
      <c r="D340" s="80"/>
      <c r="E340" s="80"/>
      <c r="F340" s="80"/>
      <c r="G340" s="80"/>
      <c r="H340" s="80"/>
      <c r="I340" s="80"/>
      <c r="J340" s="80"/>
    </row>
    <row r="341" spans="1:10" ht="12.75">
      <c r="A341" s="80"/>
      <c r="B341" s="80"/>
      <c r="C341" s="80"/>
      <c r="D341" s="80"/>
      <c r="E341" s="80"/>
      <c r="F341" s="80"/>
      <c r="G341" s="80"/>
      <c r="H341" s="80"/>
      <c r="I341" s="80"/>
      <c r="J341" s="80"/>
    </row>
    <row r="342" spans="1:10" ht="12.75">
      <c r="A342" s="80"/>
      <c r="B342" s="80"/>
      <c r="C342" s="80"/>
      <c r="D342" s="80"/>
      <c r="E342" s="80"/>
      <c r="F342" s="80"/>
      <c r="G342" s="80"/>
      <c r="H342" s="80"/>
      <c r="I342" s="80"/>
      <c r="J342" s="80"/>
    </row>
    <row r="343" spans="1:10" ht="12.75">
      <c r="A343" s="80"/>
      <c r="B343" s="80"/>
      <c r="C343" s="80"/>
      <c r="D343" s="80"/>
      <c r="E343" s="80"/>
      <c r="F343" s="80"/>
      <c r="G343" s="80"/>
      <c r="H343" s="80"/>
      <c r="I343" s="80"/>
      <c r="J343" s="80"/>
    </row>
    <row r="344" spans="1:10" ht="12.75">
      <c r="A344" s="80"/>
      <c r="B344" s="80"/>
      <c r="C344" s="80"/>
      <c r="D344" s="80"/>
      <c r="E344" s="80"/>
      <c r="F344" s="80"/>
      <c r="G344" s="80"/>
      <c r="H344" s="80"/>
      <c r="I344" s="80"/>
      <c r="J344" s="80"/>
    </row>
    <row r="345" spans="1:10" ht="12.75">
      <c r="A345" s="80"/>
      <c r="B345" s="80"/>
      <c r="C345" s="80"/>
      <c r="D345" s="80"/>
      <c r="E345" s="80"/>
      <c r="F345" s="80"/>
      <c r="G345" s="80"/>
      <c r="H345" s="80"/>
      <c r="I345" s="80"/>
      <c r="J345" s="80"/>
    </row>
    <row r="346" spans="1:10" ht="12.75">
      <c r="A346" s="80"/>
      <c r="B346" s="80"/>
      <c r="C346" s="80"/>
      <c r="D346" s="80"/>
      <c r="E346" s="80"/>
      <c r="F346" s="80"/>
      <c r="G346" s="80"/>
      <c r="H346" s="80"/>
      <c r="I346" s="80"/>
      <c r="J346" s="80"/>
    </row>
    <row r="347" spans="1:10" ht="12.75">
      <c r="A347" s="80"/>
      <c r="B347" s="80"/>
      <c r="C347" s="80"/>
      <c r="D347" s="80"/>
      <c r="E347" s="80"/>
      <c r="F347" s="80"/>
      <c r="G347" s="80"/>
      <c r="H347" s="80"/>
      <c r="I347" s="80"/>
      <c r="J347" s="80"/>
    </row>
    <row r="348" spans="1:10" ht="12.75">
      <c r="A348" s="80"/>
      <c r="B348" s="80"/>
      <c r="C348" s="80"/>
      <c r="D348" s="80"/>
      <c r="E348" s="80"/>
      <c r="F348" s="80"/>
      <c r="G348" s="80"/>
      <c r="H348" s="80"/>
      <c r="I348" s="80"/>
      <c r="J348" s="80"/>
    </row>
    <row r="349" spans="1:10" ht="12.75">
      <c r="A349" s="80"/>
      <c r="B349" s="80"/>
      <c r="C349" s="80"/>
      <c r="D349" s="80"/>
      <c r="E349" s="80"/>
      <c r="F349" s="80"/>
      <c r="G349" s="80"/>
      <c r="H349" s="80"/>
      <c r="I349" s="80"/>
      <c r="J349" s="80"/>
    </row>
    <row r="350" spans="1:10" ht="12.75">
      <c r="A350" s="80"/>
      <c r="B350" s="80"/>
      <c r="C350" s="80"/>
      <c r="D350" s="80"/>
      <c r="E350" s="80"/>
      <c r="F350" s="80"/>
      <c r="G350" s="80"/>
      <c r="H350" s="80"/>
      <c r="I350" s="80"/>
      <c r="J350" s="80"/>
    </row>
    <row r="351" spans="1:10" ht="12.75">
      <c r="A351" s="80"/>
      <c r="B351" s="80"/>
      <c r="C351" s="80"/>
      <c r="D351" s="80"/>
      <c r="E351" s="80"/>
      <c r="F351" s="80"/>
      <c r="G351" s="80"/>
      <c r="H351" s="80"/>
      <c r="I351" s="80"/>
      <c r="J351" s="80"/>
    </row>
    <row r="352" spans="1:10" ht="12.75">
      <c r="A352" s="80"/>
      <c r="B352" s="80"/>
      <c r="C352" s="80"/>
      <c r="D352" s="80"/>
      <c r="E352" s="80"/>
      <c r="F352" s="80"/>
      <c r="G352" s="80"/>
      <c r="H352" s="80"/>
      <c r="I352" s="80"/>
      <c r="J352" s="80"/>
    </row>
    <row r="353" spans="1:10" ht="12.75">
      <c r="A353" s="80"/>
      <c r="B353" s="80"/>
      <c r="C353" s="80"/>
      <c r="D353" s="80"/>
      <c r="E353" s="80"/>
      <c r="F353" s="80"/>
      <c r="G353" s="80"/>
      <c r="H353" s="80"/>
      <c r="I353" s="80"/>
      <c r="J353" s="80"/>
    </row>
    <row r="354" spans="1:10" ht="12.75">
      <c r="A354" s="80"/>
      <c r="B354" s="80"/>
      <c r="C354" s="80"/>
      <c r="D354" s="80"/>
      <c r="E354" s="80"/>
      <c r="F354" s="80"/>
      <c r="G354" s="80"/>
      <c r="H354" s="80"/>
      <c r="I354" s="80"/>
      <c r="J354" s="80"/>
    </row>
    <row r="355" spans="1:10" ht="12.75">
      <c r="A355" s="80"/>
      <c r="B355" s="80"/>
      <c r="C355" s="80"/>
      <c r="D355" s="80"/>
      <c r="E355" s="80"/>
      <c r="F355" s="80"/>
      <c r="G355" s="80"/>
      <c r="H355" s="80"/>
      <c r="I355" s="80"/>
      <c r="J355" s="80"/>
    </row>
    <row r="356" spans="1:10" ht="12.75">
      <c r="A356" s="80"/>
      <c r="B356" s="80"/>
      <c r="C356" s="80"/>
      <c r="D356" s="80"/>
      <c r="E356" s="80"/>
      <c r="F356" s="80"/>
      <c r="G356" s="80"/>
      <c r="H356" s="80"/>
      <c r="I356" s="80"/>
      <c r="J356" s="80"/>
    </row>
    <row r="357" spans="1:10" ht="12.75">
      <c r="A357" s="80"/>
      <c r="B357" s="80"/>
      <c r="C357" s="80"/>
      <c r="D357" s="80"/>
      <c r="E357" s="80"/>
      <c r="F357" s="80"/>
      <c r="G357" s="80"/>
      <c r="H357" s="80"/>
      <c r="I357" s="80"/>
      <c r="J357" s="80"/>
    </row>
    <row r="358" spans="1:10" ht="12.75">
      <c r="A358" s="80"/>
      <c r="B358" s="80"/>
      <c r="C358" s="80"/>
      <c r="D358" s="80"/>
      <c r="E358" s="80"/>
      <c r="F358" s="80"/>
      <c r="G358" s="80"/>
      <c r="H358" s="80"/>
      <c r="I358" s="80"/>
      <c r="J358" s="80"/>
    </row>
    <row r="359" spans="1:10" ht="12.75">
      <c r="A359" s="80"/>
      <c r="B359" s="80"/>
      <c r="C359" s="80"/>
      <c r="D359" s="80"/>
      <c r="E359" s="80"/>
      <c r="F359" s="80"/>
      <c r="G359" s="80"/>
      <c r="H359" s="80"/>
      <c r="I359" s="80"/>
      <c r="J359" s="80"/>
    </row>
    <row r="360" spans="1:10" ht="12.75">
      <c r="A360" s="80"/>
      <c r="B360" s="80"/>
      <c r="C360" s="80"/>
      <c r="D360" s="80"/>
      <c r="E360" s="80"/>
      <c r="F360" s="80"/>
      <c r="G360" s="80"/>
      <c r="H360" s="80"/>
      <c r="I360" s="80"/>
      <c r="J360" s="80"/>
    </row>
    <row r="361" spans="1:10" ht="12.75">
      <c r="A361" s="80"/>
      <c r="B361" s="80"/>
      <c r="C361" s="80"/>
      <c r="D361" s="80"/>
      <c r="E361" s="80"/>
      <c r="F361" s="80"/>
      <c r="G361" s="80"/>
      <c r="H361" s="80"/>
      <c r="I361" s="80"/>
      <c r="J361" s="80"/>
    </row>
    <row r="362" spans="1:10" ht="12.75">
      <c r="A362" s="80"/>
      <c r="B362" s="80"/>
      <c r="C362" s="80"/>
      <c r="D362" s="80"/>
      <c r="E362" s="80"/>
      <c r="F362" s="80"/>
      <c r="G362" s="80"/>
      <c r="H362" s="80"/>
      <c r="I362" s="80"/>
      <c r="J362" s="80"/>
    </row>
    <row r="363" spans="1:10" ht="12.75">
      <c r="A363" s="80"/>
      <c r="B363" s="80"/>
      <c r="C363" s="80"/>
      <c r="D363" s="80"/>
      <c r="E363" s="80"/>
      <c r="F363" s="80"/>
      <c r="G363" s="80"/>
      <c r="H363" s="80"/>
      <c r="I363" s="80"/>
      <c r="J363" s="80"/>
    </row>
    <row r="364" spans="1:10" ht="12.75">
      <c r="A364" s="80"/>
      <c r="B364" s="80"/>
      <c r="C364" s="80"/>
      <c r="D364" s="80"/>
      <c r="E364" s="80"/>
      <c r="F364" s="80"/>
      <c r="G364" s="80"/>
      <c r="H364" s="80"/>
      <c r="I364" s="80"/>
      <c r="J364" s="80"/>
    </row>
    <row r="365" spans="1:10" ht="12.75">
      <c r="A365" s="80"/>
      <c r="B365" s="80"/>
      <c r="C365" s="80"/>
      <c r="D365" s="80"/>
      <c r="E365" s="80"/>
      <c r="F365" s="80"/>
      <c r="G365" s="80"/>
      <c r="H365" s="80"/>
      <c r="I365" s="80"/>
      <c r="J365" s="80"/>
    </row>
    <row r="366" spans="1:10" ht="12.75">
      <c r="A366" s="80"/>
      <c r="B366" s="80"/>
      <c r="C366" s="80"/>
      <c r="D366" s="80"/>
      <c r="E366" s="80"/>
      <c r="F366" s="80"/>
      <c r="G366" s="80"/>
      <c r="H366" s="80"/>
      <c r="I366" s="80"/>
      <c r="J366" s="80"/>
    </row>
    <row r="367" spans="1:10" ht="12.75">
      <c r="A367" s="80"/>
      <c r="B367" s="80"/>
      <c r="C367" s="80"/>
      <c r="D367" s="80"/>
      <c r="E367" s="80"/>
      <c r="F367" s="80"/>
      <c r="G367" s="80"/>
      <c r="H367" s="80"/>
      <c r="I367" s="80"/>
      <c r="J367" s="80"/>
    </row>
    <row r="368" spans="1:10" ht="12.75">
      <c r="A368" s="80"/>
      <c r="B368" s="80"/>
      <c r="C368" s="80"/>
      <c r="D368" s="80"/>
      <c r="E368" s="80"/>
      <c r="F368" s="80"/>
      <c r="G368" s="80"/>
      <c r="H368" s="80"/>
      <c r="I368" s="80"/>
      <c r="J368" s="80"/>
    </row>
    <row r="369" spans="1:10" ht="12.75">
      <c r="A369" s="80"/>
      <c r="B369" s="80"/>
      <c r="C369" s="80"/>
      <c r="D369" s="80"/>
      <c r="E369" s="80"/>
      <c r="F369" s="80"/>
      <c r="G369" s="80"/>
      <c r="H369" s="80"/>
      <c r="I369" s="80"/>
      <c r="J369" s="80"/>
    </row>
    <row r="370" spans="1:10" ht="12.75">
      <c r="A370" s="80"/>
      <c r="B370" s="80"/>
      <c r="C370" s="80"/>
      <c r="D370" s="80"/>
      <c r="E370" s="80"/>
      <c r="F370" s="80"/>
      <c r="G370" s="80"/>
      <c r="H370" s="80"/>
      <c r="I370" s="80"/>
      <c r="J370" s="80"/>
    </row>
    <row r="371" spans="1:10" ht="12.75">
      <c r="A371" s="80"/>
      <c r="B371" s="80"/>
      <c r="C371" s="80"/>
      <c r="D371" s="80"/>
      <c r="E371" s="80"/>
      <c r="F371" s="80"/>
      <c r="G371" s="80"/>
      <c r="H371" s="80"/>
      <c r="I371" s="80"/>
      <c r="J371" s="80"/>
    </row>
    <row r="372" spans="1:10" ht="12.75">
      <c r="A372" s="80"/>
      <c r="B372" s="80"/>
      <c r="C372" s="80"/>
      <c r="D372" s="80"/>
      <c r="E372" s="80"/>
      <c r="F372" s="80"/>
      <c r="G372" s="80"/>
      <c r="H372" s="80"/>
      <c r="I372" s="80"/>
      <c r="J372" s="80"/>
    </row>
    <row r="373" spans="1:10" ht="12.75">
      <c r="A373" s="80"/>
      <c r="B373" s="80"/>
      <c r="C373" s="80"/>
      <c r="D373" s="80"/>
      <c r="E373" s="80"/>
      <c r="F373" s="80"/>
      <c r="G373" s="80"/>
      <c r="H373" s="80"/>
      <c r="I373" s="80"/>
      <c r="J373" s="80"/>
    </row>
    <row r="374" spans="1:10" ht="12.75">
      <c r="A374" s="80"/>
      <c r="B374" s="80"/>
      <c r="C374" s="80"/>
      <c r="D374" s="80"/>
      <c r="E374" s="80"/>
      <c r="F374" s="80"/>
      <c r="G374" s="80"/>
      <c r="H374" s="80"/>
      <c r="I374" s="80"/>
      <c r="J374" s="80"/>
    </row>
    <row r="375" spans="1:10" ht="12.75">
      <c r="A375" s="80"/>
      <c r="B375" s="80"/>
      <c r="C375" s="80"/>
      <c r="D375" s="80"/>
      <c r="E375" s="80"/>
      <c r="F375" s="80"/>
      <c r="G375" s="80"/>
      <c r="H375" s="80"/>
      <c r="I375" s="80"/>
      <c r="J375" s="80"/>
    </row>
    <row r="376" spans="1:10" ht="12.75">
      <c r="A376" s="80"/>
      <c r="B376" s="80"/>
      <c r="C376" s="80"/>
      <c r="D376" s="80"/>
      <c r="E376" s="80"/>
      <c r="F376" s="80"/>
      <c r="G376" s="80"/>
      <c r="H376" s="80"/>
      <c r="I376" s="80"/>
      <c r="J376" s="80"/>
    </row>
    <row r="377" spans="1:10" ht="12.75">
      <c r="A377" s="80"/>
      <c r="B377" s="80"/>
      <c r="C377" s="80"/>
      <c r="D377" s="80"/>
      <c r="E377" s="80"/>
      <c r="F377" s="80"/>
      <c r="G377" s="80"/>
      <c r="H377" s="80"/>
      <c r="I377" s="80"/>
      <c r="J377" s="80"/>
    </row>
    <row r="378" spans="1:10" ht="12.75">
      <c r="A378" s="80"/>
      <c r="B378" s="80"/>
      <c r="C378" s="80"/>
      <c r="D378" s="80"/>
      <c r="E378" s="80"/>
      <c r="F378" s="80"/>
      <c r="G378" s="80"/>
      <c r="H378" s="80"/>
      <c r="I378" s="80"/>
      <c r="J378" s="80"/>
    </row>
    <row r="379" spans="1:10" ht="12.75">
      <c r="A379" s="80"/>
      <c r="B379" s="80"/>
      <c r="C379" s="80"/>
      <c r="D379" s="80"/>
      <c r="E379" s="80"/>
      <c r="F379" s="80"/>
      <c r="G379" s="80"/>
      <c r="H379" s="80"/>
      <c r="I379" s="80"/>
      <c r="J379" s="80"/>
    </row>
    <row r="380" spans="1:10" ht="12.75">
      <c r="A380" s="80"/>
      <c r="B380" s="80"/>
      <c r="C380" s="80"/>
      <c r="D380" s="80"/>
      <c r="E380" s="80"/>
      <c r="F380" s="80"/>
      <c r="G380" s="80"/>
      <c r="H380" s="80"/>
      <c r="I380" s="80"/>
      <c r="J380" s="80"/>
    </row>
    <row r="381" spans="1:10" ht="12.75">
      <c r="A381" s="80"/>
      <c r="B381" s="80"/>
      <c r="C381" s="80"/>
      <c r="D381" s="80"/>
      <c r="E381" s="80"/>
      <c r="F381" s="80"/>
      <c r="G381" s="80"/>
      <c r="H381" s="80"/>
      <c r="I381" s="80"/>
      <c r="J381" s="80"/>
    </row>
    <row r="382" spans="1:10" ht="12.75">
      <c r="A382" s="80"/>
      <c r="B382" s="80"/>
      <c r="C382" s="80"/>
      <c r="D382" s="80"/>
      <c r="E382" s="80"/>
      <c r="F382" s="80"/>
      <c r="G382" s="80"/>
      <c r="H382" s="80"/>
      <c r="I382" s="80"/>
      <c r="J382" s="80"/>
    </row>
    <row r="383" spans="1:10" ht="12.75">
      <c r="A383" s="80"/>
      <c r="B383" s="80"/>
      <c r="C383" s="80"/>
      <c r="D383" s="80"/>
      <c r="E383" s="80"/>
      <c r="F383" s="80"/>
      <c r="G383" s="80"/>
      <c r="H383" s="80"/>
      <c r="I383" s="80"/>
      <c r="J383" s="80"/>
    </row>
    <row r="384" spans="1:10" ht="12.75">
      <c r="A384" s="80"/>
      <c r="B384" s="80"/>
      <c r="C384" s="80"/>
      <c r="D384" s="80"/>
      <c r="E384" s="80"/>
      <c r="F384" s="80"/>
      <c r="G384" s="80"/>
      <c r="H384" s="80"/>
      <c r="I384" s="80"/>
      <c r="J384" s="80"/>
    </row>
    <row r="385" spans="1:10" ht="12.75">
      <c r="A385" s="80"/>
      <c r="B385" s="80"/>
      <c r="C385" s="80"/>
      <c r="D385" s="80"/>
      <c r="E385" s="80"/>
      <c r="F385" s="80"/>
      <c r="G385" s="80"/>
      <c r="H385" s="80"/>
      <c r="I385" s="80"/>
      <c r="J385" s="80"/>
    </row>
    <row r="386" spans="1:10" ht="12.75">
      <c r="A386" s="80"/>
      <c r="B386" s="80"/>
      <c r="C386" s="80"/>
      <c r="D386" s="80"/>
      <c r="E386" s="80"/>
      <c r="F386" s="80"/>
      <c r="G386" s="80"/>
      <c r="H386" s="80"/>
      <c r="I386" s="80"/>
      <c r="J386" s="80"/>
    </row>
    <row r="387" spans="1:10" ht="12.75">
      <c r="A387" s="80"/>
      <c r="B387" s="80"/>
      <c r="C387" s="80"/>
      <c r="D387" s="80"/>
      <c r="E387" s="80"/>
      <c r="F387" s="80"/>
      <c r="G387" s="80"/>
      <c r="H387" s="80"/>
      <c r="I387" s="80"/>
      <c r="J387" s="80"/>
    </row>
    <row r="388" spans="1:10" ht="12.75">
      <c r="A388" s="80"/>
      <c r="B388" s="80"/>
      <c r="C388" s="80"/>
      <c r="D388" s="80"/>
      <c r="E388" s="80"/>
      <c r="F388" s="80"/>
      <c r="G388" s="80"/>
      <c r="H388" s="80"/>
      <c r="I388" s="80"/>
      <c r="J388" s="80"/>
    </row>
    <row r="389" spans="1:10" ht="12.75">
      <c r="A389" s="80"/>
      <c r="B389" s="80"/>
      <c r="C389" s="80"/>
      <c r="D389" s="80"/>
      <c r="E389" s="80"/>
      <c r="F389" s="80"/>
      <c r="G389" s="80"/>
      <c r="H389" s="80"/>
      <c r="I389" s="80"/>
      <c r="J389" s="80"/>
    </row>
    <row r="390" spans="1:10" ht="12.75">
      <c r="A390" s="80"/>
      <c r="B390" s="80"/>
      <c r="C390" s="80"/>
      <c r="D390" s="80"/>
      <c r="E390" s="80"/>
      <c r="F390" s="80"/>
      <c r="G390" s="80"/>
      <c r="H390" s="80"/>
      <c r="I390" s="80"/>
      <c r="J390" s="80"/>
    </row>
    <row r="391" spans="1:10" ht="12.75">
      <c r="A391" s="80"/>
      <c r="B391" s="80"/>
      <c r="C391" s="80"/>
      <c r="D391" s="80"/>
      <c r="E391" s="80"/>
      <c r="F391" s="80"/>
      <c r="G391" s="80"/>
      <c r="H391" s="80"/>
      <c r="I391" s="80"/>
      <c r="J391" s="80"/>
    </row>
    <row r="392" spans="1:10" ht="12.75">
      <c r="A392" s="80"/>
      <c r="B392" s="80"/>
      <c r="C392" s="80"/>
      <c r="D392" s="80"/>
      <c r="E392" s="80"/>
      <c r="F392" s="80"/>
      <c r="G392" s="80"/>
      <c r="H392" s="80"/>
      <c r="I392" s="80"/>
      <c r="J392" s="80"/>
    </row>
    <row r="393" spans="1:10" ht="12.75">
      <c r="A393" s="80"/>
      <c r="B393" s="80"/>
      <c r="C393" s="80"/>
      <c r="D393" s="80"/>
      <c r="E393" s="80"/>
      <c r="F393" s="80"/>
      <c r="G393" s="80"/>
      <c r="H393" s="80"/>
      <c r="I393" s="80"/>
      <c r="J393" s="80"/>
    </row>
    <row r="394" spans="1:10" ht="12.75">
      <c r="A394" s="80"/>
      <c r="B394" s="80"/>
      <c r="C394" s="80"/>
      <c r="D394" s="80"/>
      <c r="E394" s="80"/>
      <c r="F394" s="80"/>
      <c r="G394" s="80"/>
      <c r="H394" s="80"/>
      <c r="I394" s="80"/>
      <c r="J394" s="80"/>
    </row>
    <row r="395" spans="1:10" ht="12.75">
      <c r="A395" s="80"/>
      <c r="B395" s="80"/>
      <c r="C395" s="80"/>
      <c r="D395" s="80"/>
      <c r="E395" s="80"/>
      <c r="F395" s="80"/>
      <c r="G395" s="80"/>
      <c r="H395" s="80"/>
      <c r="I395" s="80"/>
      <c r="J395" s="80"/>
    </row>
    <row r="396" spans="1:10" ht="12.75">
      <c r="A396" s="80"/>
      <c r="B396" s="80"/>
      <c r="C396" s="80"/>
      <c r="D396" s="80"/>
      <c r="E396" s="80"/>
      <c r="F396" s="80"/>
      <c r="G396" s="80"/>
      <c r="H396" s="80"/>
      <c r="I396" s="80"/>
      <c r="J396" s="80"/>
    </row>
    <row r="397" spans="1:10" ht="12.75">
      <c r="A397" s="80"/>
      <c r="B397" s="80"/>
      <c r="C397" s="80"/>
      <c r="D397" s="80"/>
      <c r="E397" s="80"/>
      <c r="F397" s="80"/>
      <c r="G397" s="80"/>
      <c r="H397" s="80"/>
      <c r="I397" s="80"/>
      <c r="J397" s="80"/>
    </row>
    <row r="398" spans="1:10" ht="12.75">
      <c r="A398" s="80"/>
      <c r="B398" s="80"/>
      <c r="C398" s="80"/>
      <c r="D398" s="80"/>
      <c r="E398" s="80"/>
      <c r="F398" s="80"/>
      <c r="G398" s="80"/>
      <c r="H398" s="80"/>
      <c r="I398" s="80"/>
      <c r="J398" s="80"/>
    </row>
    <row r="399" spans="1:10" ht="12.75">
      <c r="A399" s="80"/>
      <c r="B399" s="80"/>
      <c r="C399" s="80"/>
      <c r="D399" s="80"/>
      <c r="E399" s="80"/>
      <c r="F399" s="80"/>
      <c r="G399" s="80"/>
      <c r="H399" s="80"/>
      <c r="I399" s="80"/>
      <c r="J399" s="80"/>
    </row>
    <row r="400" spans="1:10" ht="12.75">
      <c r="A400" s="80"/>
      <c r="B400" s="80"/>
      <c r="C400" s="80"/>
      <c r="D400" s="80"/>
      <c r="E400" s="80"/>
      <c r="F400" s="80"/>
      <c r="G400" s="80"/>
      <c r="H400" s="80"/>
      <c r="I400" s="80"/>
      <c r="J400" s="80"/>
    </row>
    <row r="401" spans="1:10" ht="12.75">
      <c r="A401" s="80"/>
      <c r="B401" s="80"/>
      <c r="C401" s="80"/>
      <c r="D401" s="80"/>
      <c r="E401" s="80"/>
      <c r="F401" s="80"/>
      <c r="G401" s="80"/>
      <c r="H401" s="80"/>
      <c r="I401" s="80"/>
      <c r="J401" s="80"/>
    </row>
    <row r="402" spans="1:10" ht="12.75">
      <c r="A402" s="80"/>
      <c r="B402" s="80"/>
      <c r="C402" s="80"/>
      <c r="D402" s="80"/>
      <c r="E402" s="80"/>
      <c r="F402" s="80"/>
      <c r="G402" s="80"/>
      <c r="H402" s="80"/>
      <c r="I402" s="80"/>
      <c r="J402" s="80"/>
    </row>
    <row r="403" spans="1:10" ht="12.75">
      <c r="A403" s="80"/>
      <c r="B403" s="80"/>
      <c r="C403" s="80"/>
      <c r="D403" s="80"/>
      <c r="E403" s="80"/>
      <c r="F403" s="80"/>
      <c r="G403" s="80"/>
      <c r="H403" s="80"/>
      <c r="I403" s="80"/>
      <c r="J403" s="80"/>
    </row>
    <row r="404" spans="1:10" ht="12.75">
      <c r="A404" s="80"/>
      <c r="B404" s="80"/>
      <c r="C404" s="80"/>
      <c r="D404" s="80"/>
      <c r="E404" s="80"/>
      <c r="F404" s="80"/>
      <c r="G404" s="80"/>
      <c r="H404" s="80"/>
      <c r="I404" s="80"/>
      <c r="J404" s="80"/>
    </row>
    <row r="405" spans="1:10" ht="12.75">
      <c r="A405" s="80"/>
      <c r="B405" s="80"/>
      <c r="C405" s="80"/>
      <c r="D405" s="80"/>
      <c r="E405" s="80"/>
      <c r="F405" s="80"/>
      <c r="G405" s="80"/>
      <c r="H405" s="80"/>
      <c r="I405" s="80"/>
      <c r="J405" s="80"/>
    </row>
    <row r="406" spans="1:10" ht="12.75">
      <c r="A406" s="80"/>
      <c r="B406" s="80"/>
      <c r="C406" s="80"/>
      <c r="D406" s="80"/>
      <c r="E406" s="80"/>
      <c r="F406" s="80"/>
      <c r="G406" s="80"/>
      <c r="H406" s="80"/>
      <c r="I406" s="80"/>
      <c r="J406" s="80"/>
    </row>
    <row r="407" spans="1:10" ht="12.75">
      <c r="A407" s="80"/>
      <c r="B407" s="80"/>
      <c r="C407" s="80"/>
      <c r="D407" s="80"/>
      <c r="E407" s="80"/>
      <c r="F407" s="80"/>
      <c r="G407" s="80"/>
      <c r="H407" s="80"/>
      <c r="I407" s="80"/>
      <c r="J407" s="80"/>
    </row>
    <row r="408" spans="1:10" ht="12.75">
      <c r="A408" s="80"/>
      <c r="B408" s="80"/>
      <c r="C408" s="80"/>
      <c r="D408" s="80"/>
      <c r="E408" s="80"/>
      <c r="F408" s="80"/>
      <c r="G408" s="80"/>
      <c r="H408" s="80"/>
      <c r="I408" s="80"/>
      <c r="J408" s="80"/>
    </row>
    <row r="409" spans="1:10" ht="12.75">
      <c r="A409" s="80"/>
      <c r="B409" s="80"/>
      <c r="C409" s="80"/>
      <c r="D409" s="80"/>
      <c r="E409" s="80"/>
      <c r="F409" s="80"/>
      <c r="G409" s="80"/>
      <c r="H409" s="80"/>
      <c r="I409" s="80"/>
      <c r="J409" s="80"/>
    </row>
    <row r="410" spans="1:10" ht="12.75">
      <c r="A410" s="80"/>
      <c r="B410" s="80"/>
      <c r="C410" s="80"/>
      <c r="D410" s="80"/>
      <c r="E410" s="80"/>
      <c r="F410" s="80"/>
      <c r="G410" s="80"/>
      <c r="H410" s="80"/>
      <c r="I410" s="80"/>
      <c r="J410" s="80"/>
    </row>
    <row r="411" spans="1:10" ht="12.75">
      <c r="A411" s="80"/>
      <c r="B411" s="80"/>
      <c r="C411" s="80"/>
      <c r="D411" s="80"/>
      <c r="E411" s="80"/>
      <c r="F411" s="80"/>
      <c r="G411" s="80"/>
      <c r="H411" s="80"/>
      <c r="I411" s="80"/>
      <c r="J411" s="80"/>
    </row>
    <row r="412" spans="1:10" ht="12.75">
      <c r="A412" s="80"/>
      <c r="B412" s="80"/>
      <c r="C412" s="80"/>
      <c r="D412" s="80"/>
      <c r="E412" s="80"/>
      <c r="F412" s="80"/>
      <c r="G412" s="80"/>
      <c r="H412" s="80"/>
      <c r="I412" s="80"/>
      <c r="J412" s="80"/>
    </row>
    <row r="413" spans="1:10" ht="12.75">
      <c r="A413" s="80"/>
      <c r="B413" s="80"/>
      <c r="C413" s="80"/>
      <c r="D413" s="80"/>
      <c r="E413" s="80"/>
      <c r="F413" s="80"/>
      <c r="G413" s="80"/>
      <c r="H413" s="80"/>
      <c r="I413" s="80"/>
      <c r="J413" s="80"/>
    </row>
    <row r="414" spans="1:10" ht="12.75">
      <c r="A414" s="80"/>
      <c r="B414" s="80"/>
      <c r="C414" s="80"/>
      <c r="D414" s="80"/>
      <c r="E414" s="80"/>
      <c r="F414" s="80"/>
      <c r="G414" s="80"/>
      <c r="H414" s="80"/>
      <c r="I414" s="80"/>
      <c r="J414" s="80"/>
    </row>
    <row r="415" spans="1:10" ht="12.75">
      <c r="A415" s="80"/>
      <c r="B415" s="80"/>
      <c r="C415" s="80"/>
      <c r="D415" s="80"/>
      <c r="E415" s="80"/>
      <c r="F415" s="80"/>
      <c r="G415" s="80"/>
      <c r="H415" s="80"/>
      <c r="I415" s="80"/>
      <c r="J415" s="80"/>
    </row>
    <row r="416" spans="1:10" ht="12.75">
      <c r="A416" s="80"/>
      <c r="B416" s="80"/>
      <c r="C416" s="80"/>
      <c r="D416" s="80"/>
      <c r="E416" s="80"/>
      <c r="F416" s="80"/>
      <c r="G416" s="80"/>
      <c r="H416" s="80"/>
      <c r="I416" s="80"/>
      <c r="J416" s="80"/>
    </row>
    <row r="417" spans="1:10" ht="12.75">
      <c r="A417" s="80"/>
      <c r="B417" s="80"/>
      <c r="C417" s="80"/>
      <c r="D417" s="80"/>
      <c r="E417" s="80"/>
      <c r="F417" s="80"/>
      <c r="G417" s="80"/>
      <c r="H417" s="80"/>
      <c r="I417" s="80"/>
      <c r="J417" s="80"/>
    </row>
    <row r="418" spans="1:10" ht="12.75">
      <c r="A418" s="80"/>
      <c r="B418" s="80"/>
      <c r="C418" s="80"/>
      <c r="D418" s="80"/>
      <c r="E418" s="80"/>
      <c r="F418" s="80"/>
      <c r="G418" s="80"/>
      <c r="H418" s="80"/>
      <c r="I418" s="80"/>
      <c r="J418" s="80"/>
    </row>
    <row r="419" spans="1:10" ht="12.75">
      <c r="A419" s="80"/>
      <c r="B419" s="80"/>
      <c r="C419" s="80"/>
      <c r="D419" s="80"/>
      <c r="E419" s="80"/>
      <c r="F419" s="80"/>
      <c r="G419" s="80"/>
      <c r="H419" s="80"/>
      <c r="I419" s="80"/>
      <c r="J419" s="80"/>
    </row>
    <row r="420" spans="1:10" ht="12.75">
      <c r="A420" s="80"/>
      <c r="B420" s="80"/>
      <c r="C420" s="80"/>
      <c r="D420" s="80"/>
      <c r="E420" s="80"/>
      <c r="F420" s="80"/>
      <c r="G420" s="80"/>
      <c r="H420" s="80"/>
      <c r="I420" s="80"/>
      <c r="J420" s="80"/>
    </row>
    <row r="421" spans="1:10" ht="12.75">
      <c r="A421" s="80"/>
      <c r="B421" s="80"/>
      <c r="C421" s="80"/>
      <c r="D421" s="80"/>
      <c r="E421" s="80"/>
      <c r="F421" s="80"/>
      <c r="G421" s="80"/>
      <c r="H421" s="80"/>
      <c r="I421" s="80"/>
      <c r="J421" s="80"/>
    </row>
    <row r="422" spans="1:10" ht="12.75">
      <c r="A422" s="80"/>
      <c r="B422" s="80"/>
      <c r="C422" s="80"/>
      <c r="D422" s="80"/>
      <c r="E422" s="80"/>
      <c r="F422" s="80"/>
      <c r="G422" s="80"/>
      <c r="H422" s="80"/>
      <c r="I422" s="80"/>
      <c r="J422" s="80"/>
    </row>
    <row r="423" spans="1:10" ht="12.75">
      <c r="A423" s="80"/>
      <c r="B423" s="80"/>
      <c r="C423" s="80"/>
      <c r="D423" s="80"/>
      <c r="E423" s="80"/>
      <c r="F423" s="80"/>
      <c r="G423" s="80"/>
      <c r="H423" s="80"/>
      <c r="I423" s="80"/>
      <c r="J423" s="80"/>
    </row>
    <row r="424" spans="1:10" ht="12.75">
      <c r="A424" s="80"/>
      <c r="B424" s="80"/>
      <c r="C424" s="80"/>
      <c r="D424" s="80"/>
      <c r="E424" s="80"/>
      <c r="F424" s="80"/>
      <c r="G424" s="80"/>
      <c r="H424" s="80"/>
      <c r="I424" s="80"/>
      <c r="J424" s="80"/>
    </row>
    <row r="425" spans="1:10" ht="12.75">
      <c r="A425" s="80"/>
      <c r="B425" s="80"/>
      <c r="C425" s="80"/>
      <c r="D425" s="80"/>
      <c r="E425" s="80"/>
      <c r="F425" s="80"/>
      <c r="G425" s="80"/>
      <c r="H425" s="80"/>
      <c r="I425" s="80"/>
      <c r="J425" s="80"/>
    </row>
    <row r="426" spans="1:10" ht="12.75">
      <c r="A426" s="80"/>
      <c r="B426" s="80"/>
      <c r="C426" s="80"/>
      <c r="D426" s="80"/>
      <c r="E426" s="80"/>
      <c r="F426" s="80"/>
      <c r="G426" s="80"/>
      <c r="H426" s="80"/>
      <c r="I426" s="80"/>
      <c r="J426" s="80"/>
    </row>
    <row r="427" spans="1:10" ht="12.75">
      <c r="A427" s="80"/>
      <c r="B427" s="80"/>
      <c r="C427" s="80"/>
      <c r="D427" s="80"/>
      <c r="E427" s="80"/>
      <c r="F427" s="80"/>
      <c r="G427" s="80"/>
      <c r="H427" s="80"/>
      <c r="I427" s="80"/>
      <c r="J427" s="80"/>
    </row>
    <row r="428" spans="1:10" ht="12.75">
      <c r="A428" s="80"/>
      <c r="B428" s="80"/>
      <c r="C428" s="80"/>
      <c r="D428" s="80"/>
      <c r="E428" s="80"/>
      <c r="F428" s="80"/>
      <c r="G428" s="80"/>
      <c r="H428" s="80"/>
      <c r="I428" s="80"/>
      <c r="J428" s="80"/>
    </row>
    <row r="429" spans="1:10" ht="12.75">
      <c r="A429" s="80"/>
      <c r="B429" s="80"/>
      <c r="C429" s="80"/>
      <c r="D429" s="80"/>
      <c r="E429" s="80"/>
      <c r="F429" s="80"/>
      <c r="G429" s="80"/>
      <c r="H429" s="80"/>
      <c r="I429" s="80"/>
      <c r="J429" s="80"/>
    </row>
    <row r="430" spans="1:10" ht="12.75">
      <c r="A430" s="80"/>
      <c r="B430" s="80"/>
      <c r="C430" s="80"/>
      <c r="D430" s="80"/>
      <c r="E430" s="80"/>
      <c r="F430" s="80"/>
      <c r="G430" s="80"/>
      <c r="H430" s="80"/>
      <c r="I430" s="80"/>
      <c r="J430" s="80"/>
    </row>
    <row r="431" spans="1:10" ht="12.75">
      <c r="A431" s="80"/>
      <c r="B431" s="80"/>
      <c r="C431" s="80"/>
      <c r="D431" s="80"/>
      <c r="E431" s="80"/>
      <c r="F431" s="80"/>
      <c r="G431" s="80"/>
      <c r="H431" s="80"/>
      <c r="I431" s="80"/>
      <c r="J431" s="80"/>
    </row>
    <row r="432" spans="1:10" ht="12.75">
      <c r="A432" s="80"/>
      <c r="B432" s="80"/>
      <c r="C432" s="80"/>
      <c r="D432" s="80"/>
      <c r="E432" s="80"/>
      <c r="F432" s="80"/>
      <c r="G432" s="80"/>
      <c r="H432" s="80"/>
      <c r="I432" s="80"/>
      <c r="J432" s="80"/>
    </row>
    <row r="433" spans="1:10" ht="12.75">
      <c r="A433" s="80"/>
      <c r="B433" s="80"/>
      <c r="C433" s="80"/>
      <c r="D433" s="80"/>
      <c r="E433" s="80"/>
      <c r="F433" s="80"/>
      <c r="G433" s="80"/>
      <c r="H433" s="80"/>
      <c r="I433" s="80"/>
      <c r="J433" s="80"/>
    </row>
    <row r="434" spans="1:10" ht="12.75">
      <c r="A434" s="80"/>
      <c r="B434" s="80"/>
      <c r="C434" s="80"/>
      <c r="D434" s="80"/>
      <c r="E434" s="80"/>
      <c r="F434" s="80"/>
      <c r="G434" s="80"/>
      <c r="H434" s="80"/>
      <c r="I434" s="80"/>
      <c r="J434" s="80"/>
    </row>
    <row r="435" spans="1:10" ht="12.75">
      <c r="A435" s="80"/>
      <c r="B435" s="80"/>
      <c r="C435" s="80"/>
      <c r="D435" s="80"/>
      <c r="E435" s="80"/>
      <c r="F435" s="80"/>
      <c r="G435" s="80"/>
      <c r="H435" s="80"/>
      <c r="I435" s="80"/>
      <c r="J435" s="80"/>
    </row>
    <row r="436" spans="1:10" ht="12.75">
      <c r="A436" s="80"/>
      <c r="B436" s="80"/>
      <c r="C436" s="80"/>
      <c r="D436" s="80"/>
      <c r="E436" s="80"/>
      <c r="F436" s="80"/>
      <c r="G436" s="80"/>
      <c r="H436" s="80"/>
      <c r="I436" s="80"/>
      <c r="J436" s="80"/>
    </row>
    <row r="437" spans="1:10" ht="12.75">
      <c r="A437" s="80"/>
      <c r="B437" s="80"/>
      <c r="C437" s="80"/>
      <c r="D437" s="80"/>
      <c r="E437" s="80"/>
      <c r="F437" s="80"/>
      <c r="G437" s="80"/>
      <c r="H437" s="80"/>
      <c r="I437" s="80"/>
      <c r="J437" s="80"/>
    </row>
    <row r="438" spans="1:10" ht="12.75">
      <c r="A438" s="80"/>
      <c r="B438" s="80"/>
      <c r="C438" s="80"/>
      <c r="D438" s="80"/>
      <c r="E438" s="80"/>
      <c r="F438" s="80"/>
      <c r="G438" s="80"/>
      <c r="H438" s="80"/>
      <c r="I438" s="80"/>
      <c r="J438" s="80"/>
    </row>
    <row r="439" spans="1:10" ht="12.75">
      <c r="A439" s="80"/>
      <c r="B439" s="80"/>
      <c r="C439" s="80"/>
      <c r="D439" s="80"/>
      <c r="E439" s="80"/>
      <c r="F439" s="80"/>
      <c r="G439" s="80"/>
      <c r="H439" s="80"/>
      <c r="I439" s="80"/>
      <c r="J439" s="80"/>
    </row>
    <row r="440" spans="1:10" ht="12.75">
      <c r="A440" s="80"/>
      <c r="B440" s="80"/>
      <c r="C440" s="80"/>
      <c r="D440" s="80"/>
      <c r="E440" s="80"/>
      <c r="F440" s="80"/>
      <c r="G440" s="80"/>
      <c r="H440" s="80"/>
      <c r="I440" s="80"/>
      <c r="J440" s="80"/>
    </row>
    <row r="441" spans="1:10" ht="12.75">
      <c r="A441" s="80"/>
      <c r="B441" s="80"/>
      <c r="C441" s="80"/>
      <c r="D441" s="80"/>
      <c r="E441" s="80"/>
      <c r="F441" s="80"/>
      <c r="G441" s="80"/>
      <c r="H441" s="80"/>
      <c r="I441" s="80"/>
      <c r="J441" s="80"/>
    </row>
    <row r="442" spans="1:10" ht="12.75">
      <c r="A442" s="80"/>
      <c r="B442" s="80"/>
      <c r="C442" s="80"/>
      <c r="D442" s="80"/>
      <c r="E442" s="80"/>
      <c r="F442" s="80"/>
      <c r="G442" s="80"/>
      <c r="H442" s="80"/>
      <c r="I442" s="80"/>
      <c r="J442" s="80"/>
    </row>
    <row r="443" spans="1:10" ht="12.75">
      <c r="A443" s="80"/>
      <c r="B443" s="80"/>
      <c r="C443" s="80"/>
      <c r="D443" s="80"/>
      <c r="E443" s="80"/>
      <c r="F443" s="80"/>
      <c r="G443" s="80"/>
      <c r="H443" s="80"/>
      <c r="I443" s="80"/>
      <c r="J443" s="80"/>
    </row>
    <row r="444" spans="1:10" ht="12.75">
      <c r="A444" s="80"/>
      <c r="B444" s="80"/>
      <c r="C444" s="80"/>
      <c r="D444" s="80"/>
      <c r="E444" s="80"/>
      <c r="F444" s="80"/>
      <c r="G444" s="80"/>
      <c r="H444" s="80"/>
      <c r="I444" s="80"/>
      <c r="J444" s="80"/>
    </row>
    <row r="445" spans="1:10" ht="12.75">
      <c r="A445" s="80"/>
      <c r="B445" s="80"/>
      <c r="C445" s="80"/>
      <c r="D445" s="80"/>
      <c r="E445" s="80"/>
      <c r="F445" s="80"/>
      <c r="G445" s="80"/>
      <c r="H445" s="80"/>
      <c r="I445" s="80"/>
      <c r="J445" s="80"/>
    </row>
    <row r="446" spans="1:10" ht="12.75">
      <c r="A446" s="80"/>
      <c r="B446" s="80"/>
      <c r="C446" s="80"/>
      <c r="D446" s="80"/>
      <c r="E446" s="80"/>
      <c r="F446" s="80"/>
      <c r="G446" s="80"/>
      <c r="H446" s="80"/>
      <c r="I446" s="80"/>
      <c r="J446" s="80"/>
    </row>
    <row r="447" spans="1:10" ht="12.75">
      <c r="A447" s="80"/>
      <c r="B447" s="80"/>
      <c r="C447" s="80"/>
      <c r="D447" s="80"/>
      <c r="E447" s="80"/>
      <c r="F447" s="80"/>
      <c r="G447" s="80"/>
      <c r="H447" s="80"/>
      <c r="I447" s="80"/>
      <c r="J447" s="80"/>
    </row>
    <row r="448" spans="1:10" ht="12.75">
      <c r="A448" s="80"/>
      <c r="B448" s="80"/>
      <c r="C448" s="80"/>
      <c r="D448" s="80"/>
      <c r="E448" s="80"/>
      <c r="F448" s="80"/>
      <c r="G448" s="80"/>
      <c r="H448" s="80"/>
      <c r="I448" s="80"/>
      <c r="J448" s="80"/>
    </row>
    <row r="449" spans="1:10" ht="12.75">
      <c r="A449" s="80"/>
      <c r="B449" s="80"/>
      <c r="C449" s="80"/>
      <c r="D449" s="80"/>
      <c r="E449" s="80"/>
      <c r="F449" s="80"/>
      <c r="G449" s="80"/>
      <c r="H449" s="80"/>
      <c r="I449" s="80"/>
      <c r="J449" s="80"/>
    </row>
    <row r="450" spans="1:10" ht="12.75">
      <c r="A450" s="80"/>
      <c r="B450" s="80"/>
      <c r="C450" s="80"/>
      <c r="D450" s="80"/>
      <c r="E450" s="80"/>
      <c r="F450" s="80"/>
      <c r="G450" s="80"/>
      <c r="H450" s="80"/>
      <c r="I450" s="80"/>
      <c r="J450" s="80"/>
    </row>
    <row r="451" spans="1:10" ht="12.75">
      <c r="A451" s="80"/>
      <c r="B451" s="80"/>
      <c r="C451" s="80"/>
      <c r="D451" s="80"/>
      <c r="E451" s="80"/>
      <c r="F451" s="80"/>
      <c r="G451" s="80"/>
      <c r="H451" s="80"/>
      <c r="I451" s="80"/>
      <c r="J451" s="80"/>
    </row>
    <row r="452" spans="1:10" ht="12.75">
      <c r="A452" s="80"/>
      <c r="B452" s="80"/>
      <c r="C452" s="80"/>
      <c r="D452" s="80"/>
      <c r="E452" s="80"/>
      <c r="F452" s="80"/>
      <c r="G452" s="80"/>
      <c r="H452" s="80"/>
      <c r="I452" s="80"/>
      <c r="J452" s="80"/>
    </row>
    <row r="453" spans="1:10" ht="12.75">
      <c r="A453" s="80"/>
      <c r="B453" s="80"/>
      <c r="C453" s="80"/>
      <c r="D453" s="80"/>
      <c r="E453" s="80"/>
      <c r="F453" s="80"/>
      <c r="G453" s="80"/>
      <c r="H453" s="80"/>
      <c r="I453" s="80"/>
      <c r="J453" s="80"/>
    </row>
    <row r="454" spans="1:10" ht="12.75">
      <c r="A454" s="80"/>
      <c r="B454" s="80"/>
      <c r="C454" s="80"/>
      <c r="D454" s="80"/>
      <c r="E454" s="80"/>
      <c r="F454" s="80"/>
      <c r="G454" s="80"/>
      <c r="H454" s="80"/>
      <c r="I454" s="80"/>
      <c r="J454" s="80"/>
    </row>
    <row r="455" spans="1:10" ht="12.75">
      <c r="A455" s="80"/>
      <c r="B455" s="80"/>
      <c r="C455" s="80"/>
      <c r="D455" s="80"/>
      <c r="E455" s="80"/>
      <c r="F455" s="80"/>
      <c r="G455" s="80"/>
      <c r="H455" s="80"/>
      <c r="I455" s="80"/>
      <c r="J455" s="80"/>
    </row>
    <row r="456" spans="1:10" ht="12.75">
      <c r="A456" s="80"/>
      <c r="B456" s="80"/>
      <c r="C456" s="80"/>
      <c r="D456" s="80"/>
      <c r="E456" s="80"/>
      <c r="F456" s="80"/>
      <c r="G456" s="80"/>
      <c r="H456" s="80"/>
      <c r="I456" s="80"/>
      <c r="J456" s="80"/>
    </row>
    <row r="457" spans="1:10" ht="12.75">
      <c r="A457" s="80"/>
      <c r="B457" s="80"/>
      <c r="C457" s="80"/>
      <c r="D457" s="80"/>
      <c r="E457" s="80"/>
      <c r="F457" s="80"/>
      <c r="G457" s="80"/>
      <c r="H457" s="80"/>
      <c r="I457" s="80"/>
      <c r="J457" s="80"/>
    </row>
    <row r="458" spans="1:10" ht="12.75">
      <c r="A458" s="80"/>
      <c r="B458" s="80"/>
      <c r="C458" s="80"/>
      <c r="D458" s="80"/>
      <c r="E458" s="80"/>
      <c r="F458" s="80"/>
      <c r="G458" s="80"/>
      <c r="H458" s="80"/>
      <c r="I458" s="80"/>
      <c r="J458" s="80"/>
    </row>
    <row r="459" spans="1:10" ht="12.75">
      <c r="A459" s="80"/>
      <c r="B459" s="80"/>
      <c r="C459" s="80"/>
      <c r="D459" s="80"/>
      <c r="E459" s="80"/>
      <c r="F459" s="80"/>
      <c r="G459" s="80"/>
      <c r="H459" s="80"/>
      <c r="I459" s="80"/>
      <c r="J459" s="80"/>
    </row>
    <row r="460" spans="1:10" ht="12.75">
      <c r="A460" s="80"/>
      <c r="B460" s="80"/>
      <c r="C460" s="80"/>
      <c r="D460" s="80"/>
      <c r="E460" s="80"/>
      <c r="F460" s="80"/>
      <c r="G460" s="80"/>
      <c r="H460" s="80"/>
      <c r="I460" s="80"/>
      <c r="J460" s="80"/>
    </row>
    <row r="461" spans="1:10" ht="12.75">
      <c r="A461" s="80"/>
      <c r="B461" s="80"/>
      <c r="C461" s="80"/>
      <c r="D461" s="80"/>
      <c r="E461" s="80"/>
      <c r="F461" s="80"/>
      <c r="G461" s="80"/>
      <c r="H461" s="80"/>
      <c r="I461" s="80"/>
      <c r="J461" s="80"/>
    </row>
    <row r="462" spans="1:10" ht="12.75">
      <c r="A462" s="80"/>
      <c r="B462" s="80"/>
      <c r="C462" s="80"/>
      <c r="D462" s="80"/>
      <c r="E462" s="80"/>
      <c r="F462" s="80"/>
      <c r="G462" s="80"/>
      <c r="H462" s="80"/>
      <c r="I462" s="80"/>
      <c r="J462" s="80"/>
    </row>
    <row r="463" spans="1:10" ht="12.75">
      <c r="A463" s="80"/>
      <c r="B463" s="80"/>
      <c r="C463" s="80"/>
      <c r="D463" s="80"/>
      <c r="E463" s="80"/>
      <c r="F463" s="80"/>
      <c r="G463" s="80"/>
      <c r="H463" s="80"/>
      <c r="I463" s="80"/>
      <c r="J463" s="80"/>
    </row>
    <row r="464" spans="1:10" ht="12.75">
      <c r="A464" s="80"/>
      <c r="B464" s="80"/>
      <c r="C464" s="80"/>
      <c r="D464" s="80"/>
      <c r="E464" s="80"/>
      <c r="F464" s="80"/>
      <c r="G464" s="80"/>
      <c r="H464" s="80"/>
      <c r="I464" s="80"/>
      <c r="J464" s="80"/>
    </row>
    <row r="465" spans="1:10" ht="12.75">
      <c r="A465" s="80"/>
      <c r="B465" s="80"/>
      <c r="C465" s="80"/>
      <c r="D465" s="80"/>
      <c r="E465" s="80"/>
      <c r="F465" s="80"/>
      <c r="G465" s="80"/>
      <c r="H465" s="80"/>
      <c r="I465" s="80"/>
      <c r="J465" s="80"/>
    </row>
    <row r="466" spans="1:10" ht="12.75">
      <c r="A466" s="80"/>
      <c r="B466" s="80"/>
      <c r="C466" s="80"/>
      <c r="D466" s="80"/>
      <c r="E466" s="80"/>
      <c r="F466" s="80"/>
      <c r="G466" s="80"/>
      <c r="H466" s="80"/>
      <c r="I466" s="80"/>
      <c r="J466" s="80"/>
    </row>
    <row r="467" spans="1:10" ht="12.75">
      <c r="A467" s="80"/>
      <c r="B467" s="80"/>
      <c r="C467" s="80"/>
      <c r="D467" s="80"/>
      <c r="E467" s="80"/>
      <c r="F467" s="80"/>
      <c r="G467" s="80"/>
      <c r="H467" s="80"/>
      <c r="I467" s="80"/>
      <c r="J467" s="80"/>
    </row>
    <row r="468" spans="1:10" ht="12.75">
      <c r="A468" s="80"/>
      <c r="B468" s="80"/>
      <c r="C468" s="80"/>
      <c r="D468" s="80"/>
      <c r="E468" s="80"/>
      <c r="F468" s="80"/>
      <c r="G468" s="80"/>
      <c r="H468" s="80"/>
      <c r="I468" s="80"/>
      <c r="J468" s="80"/>
    </row>
    <row r="469" spans="1:10" ht="12.75">
      <c r="A469" s="80"/>
      <c r="B469" s="80"/>
      <c r="C469" s="80"/>
      <c r="D469" s="80"/>
      <c r="E469" s="80"/>
      <c r="F469" s="80"/>
      <c r="G469" s="80"/>
      <c r="H469" s="80"/>
      <c r="I469" s="80"/>
      <c r="J469" s="80"/>
    </row>
    <row r="470" spans="1:10" ht="12.75">
      <c r="A470" s="80"/>
      <c r="B470" s="80"/>
      <c r="C470" s="80"/>
      <c r="D470" s="80"/>
      <c r="E470" s="80"/>
      <c r="F470" s="80"/>
      <c r="G470" s="80"/>
      <c r="H470" s="80"/>
      <c r="I470" s="80"/>
      <c r="J470" s="80"/>
    </row>
    <row r="471" spans="1:10" ht="12.75">
      <c r="A471" s="80"/>
      <c r="B471" s="80"/>
      <c r="C471" s="80"/>
      <c r="D471" s="80"/>
      <c r="E471" s="80"/>
      <c r="F471" s="80"/>
      <c r="G471" s="80"/>
      <c r="H471" s="80"/>
      <c r="I471" s="80"/>
      <c r="J471" s="80"/>
    </row>
    <row r="472" spans="1:10" ht="12.75">
      <c r="A472" s="80"/>
      <c r="B472" s="80"/>
      <c r="C472" s="80"/>
      <c r="D472" s="80"/>
      <c r="E472" s="80"/>
      <c r="F472" s="80"/>
      <c r="G472" s="80"/>
      <c r="H472" s="80"/>
      <c r="I472" s="80"/>
      <c r="J472" s="80"/>
    </row>
    <row r="473" spans="1:10" ht="12.75">
      <c r="A473" s="80"/>
      <c r="B473" s="80"/>
      <c r="C473" s="80"/>
      <c r="D473" s="80"/>
      <c r="E473" s="80"/>
      <c r="F473" s="80"/>
      <c r="G473" s="80"/>
      <c r="H473" s="80"/>
      <c r="I473" s="80"/>
      <c r="J473" s="80"/>
    </row>
    <row r="474" spans="1:10" ht="12.75">
      <c r="A474" s="80"/>
      <c r="B474" s="80"/>
      <c r="C474" s="80"/>
      <c r="D474" s="80"/>
      <c r="E474" s="80"/>
      <c r="F474" s="80"/>
      <c r="G474" s="80"/>
      <c r="H474" s="80"/>
      <c r="I474" s="80"/>
      <c r="J474" s="80"/>
    </row>
    <row r="475" spans="1:10" ht="12.75">
      <c r="A475" s="80"/>
      <c r="B475" s="80"/>
      <c r="C475" s="80"/>
      <c r="D475" s="80"/>
      <c r="E475" s="80"/>
      <c r="F475" s="80"/>
      <c r="G475" s="80"/>
      <c r="H475" s="80"/>
      <c r="I475" s="80"/>
      <c r="J475" s="80"/>
    </row>
    <row r="476" spans="1:10" ht="12.75">
      <c r="A476" s="80"/>
      <c r="B476" s="80"/>
      <c r="C476" s="80"/>
      <c r="D476" s="80"/>
      <c r="E476" s="80"/>
      <c r="F476" s="80"/>
      <c r="G476" s="80"/>
      <c r="H476" s="80"/>
      <c r="I476" s="80"/>
      <c r="J476" s="80"/>
    </row>
    <row r="477" spans="1:10" ht="12.75">
      <c r="A477" s="80"/>
      <c r="B477" s="80"/>
      <c r="C477" s="80"/>
      <c r="D477" s="80"/>
      <c r="E477" s="80"/>
      <c r="F477" s="80"/>
      <c r="G477" s="80"/>
      <c r="H477" s="80"/>
      <c r="I477" s="80"/>
      <c r="J477" s="80"/>
    </row>
    <row r="478" spans="1:10" ht="12.75">
      <c r="A478" s="80"/>
      <c r="B478" s="80"/>
      <c r="C478" s="80"/>
      <c r="D478" s="80"/>
      <c r="E478" s="80"/>
      <c r="F478" s="80"/>
      <c r="G478" s="80"/>
      <c r="H478" s="80"/>
      <c r="I478" s="80"/>
      <c r="J478" s="80"/>
    </row>
    <row r="479" spans="1:10" ht="12.75">
      <c r="A479" s="80"/>
      <c r="B479" s="80"/>
      <c r="C479" s="80"/>
      <c r="D479" s="80"/>
      <c r="E479" s="80"/>
      <c r="F479" s="80"/>
      <c r="G479" s="80"/>
      <c r="H479" s="80"/>
      <c r="I479" s="80"/>
      <c r="J479" s="80"/>
    </row>
    <row r="480" spans="1:10" ht="12.75">
      <c r="A480" s="80"/>
      <c r="B480" s="80"/>
      <c r="C480" s="80"/>
      <c r="D480" s="80"/>
      <c r="E480" s="80"/>
      <c r="F480" s="80"/>
      <c r="G480" s="80"/>
      <c r="H480" s="80"/>
      <c r="I480" s="80"/>
      <c r="J480" s="80"/>
    </row>
    <row r="481" spans="1:10" ht="12.75">
      <c r="A481" s="80"/>
      <c r="B481" s="80"/>
      <c r="C481" s="80"/>
      <c r="D481" s="80"/>
      <c r="E481" s="80"/>
      <c r="F481" s="80"/>
      <c r="G481" s="80"/>
      <c r="H481" s="80"/>
      <c r="I481" s="80"/>
      <c r="J481" s="80"/>
    </row>
    <row r="482" spans="1:10" ht="12.75">
      <c r="A482" s="80"/>
      <c r="B482" s="80"/>
      <c r="C482" s="80"/>
      <c r="D482" s="80"/>
      <c r="E482" s="80"/>
      <c r="F482" s="80"/>
      <c r="G482" s="80"/>
      <c r="H482" s="80"/>
      <c r="I482" s="80"/>
      <c r="J482" s="80"/>
    </row>
    <row r="483" spans="1:10" ht="12.75">
      <c r="A483" s="80"/>
      <c r="B483" s="80"/>
      <c r="C483" s="80"/>
      <c r="D483" s="80"/>
      <c r="E483" s="80"/>
      <c r="F483" s="80"/>
      <c r="G483" s="80"/>
      <c r="H483" s="80"/>
      <c r="I483" s="80"/>
      <c r="J483" s="80"/>
    </row>
    <row r="484" spans="1:10" ht="12.75">
      <c r="A484" s="80"/>
      <c r="B484" s="80"/>
      <c r="C484" s="80"/>
      <c r="D484" s="80"/>
      <c r="E484" s="80"/>
      <c r="F484" s="80"/>
      <c r="G484" s="80"/>
      <c r="H484" s="80"/>
      <c r="I484" s="80"/>
      <c r="J484" s="80"/>
    </row>
    <row r="485" spans="1:10" ht="12.75">
      <c r="A485" s="80"/>
      <c r="B485" s="80"/>
      <c r="C485" s="80"/>
      <c r="D485" s="80"/>
      <c r="E485" s="80"/>
      <c r="F485" s="80"/>
      <c r="G485" s="80"/>
      <c r="H485" s="80"/>
      <c r="I485" s="80"/>
      <c r="J485" s="80"/>
    </row>
    <row r="486" spans="1:10" ht="12.75">
      <c r="A486" s="80"/>
      <c r="B486" s="80"/>
      <c r="C486" s="80"/>
      <c r="D486" s="80"/>
      <c r="E486" s="80"/>
      <c r="F486" s="80"/>
      <c r="G486" s="80"/>
      <c r="H486" s="80"/>
      <c r="I486" s="80"/>
      <c r="J486" s="80"/>
    </row>
    <row r="487" spans="1:10" ht="12.75">
      <c r="A487" s="80"/>
      <c r="B487" s="80"/>
      <c r="C487" s="80"/>
      <c r="D487" s="80"/>
      <c r="E487" s="80"/>
      <c r="F487" s="80"/>
      <c r="G487" s="80"/>
      <c r="H487" s="80"/>
      <c r="I487" s="80"/>
      <c r="J487" s="80"/>
    </row>
    <row r="488" spans="1:10" ht="12.75">
      <c r="A488" s="80"/>
      <c r="B488" s="80"/>
      <c r="C488" s="80"/>
      <c r="D488" s="80"/>
      <c r="E488" s="80"/>
      <c r="F488" s="80"/>
      <c r="G488" s="80"/>
      <c r="H488" s="80"/>
      <c r="I488" s="80"/>
      <c r="J488" s="80"/>
    </row>
    <row r="489" spans="1:10" ht="12.75">
      <c r="A489" s="80"/>
      <c r="B489" s="80"/>
      <c r="C489" s="80"/>
      <c r="D489" s="80"/>
      <c r="E489" s="80"/>
      <c r="F489" s="80"/>
      <c r="G489" s="80"/>
      <c r="H489" s="80"/>
      <c r="I489" s="80"/>
      <c r="J489" s="80"/>
    </row>
    <row r="490" spans="1:10" ht="12.75">
      <c r="A490" s="80"/>
      <c r="B490" s="80"/>
      <c r="C490" s="80"/>
      <c r="D490" s="80"/>
      <c r="E490" s="80"/>
      <c r="F490" s="80"/>
      <c r="G490" s="80"/>
      <c r="H490" s="80"/>
      <c r="I490" s="80"/>
      <c r="J490" s="80"/>
    </row>
    <row r="491" spans="1:10" ht="12.75">
      <c r="A491" s="80"/>
      <c r="B491" s="80"/>
      <c r="C491" s="80"/>
      <c r="D491" s="80"/>
      <c r="E491" s="80"/>
      <c r="F491" s="80"/>
      <c r="G491" s="80"/>
      <c r="H491" s="80"/>
      <c r="I491" s="80"/>
      <c r="J491" s="80"/>
    </row>
    <row r="492" spans="1:10" ht="12.75">
      <c r="A492" s="80"/>
      <c r="B492" s="80"/>
      <c r="C492" s="80"/>
      <c r="D492" s="80"/>
      <c r="E492" s="80"/>
      <c r="F492" s="80"/>
      <c r="G492" s="80"/>
      <c r="H492" s="80"/>
      <c r="I492" s="80"/>
      <c r="J492" s="80"/>
    </row>
    <row r="493" spans="1:10" ht="12.75">
      <c r="A493" s="80"/>
      <c r="B493" s="80"/>
      <c r="C493" s="80"/>
      <c r="D493" s="80"/>
      <c r="E493" s="80"/>
      <c r="F493" s="80"/>
      <c r="G493" s="80"/>
      <c r="H493" s="80"/>
      <c r="I493" s="80"/>
      <c r="J493" s="80"/>
    </row>
    <row r="494" spans="1:10" ht="12.75">
      <c r="A494" s="80"/>
      <c r="B494" s="80"/>
      <c r="C494" s="80"/>
      <c r="D494" s="80"/>
      <c r="E494" s="80"/>
      <c r="F494" s="80"/>
      <c r="G494" s="80"/>
      <c r="H494" s="80"/>
      <c r="I494" s="80"/>
      <c r="J494" s="80"/>
    </row>
    <row r="495" spans="1:10" ht="12.75">
      <c r="A495" s="80"/>
      <c r="B495" s="80"/>
      <c r="C495" s="80"/>
      <c r="D495" s="80"/>
      <c r="E495" s="80"/>
      <c r="F495" s="80"/>
      <c r="G495" s="80"/>
      <c r="H495" s="80"/>
      <c r="I495" s="80"/>
      <c r="J495" s="80"/>
    </row>
    <row r="496" spans="1:10" ht="12.75">
      <c r="A496" s="80"/>
      <c r="B496" s="80"/>
      <c r="C496" s="80"/>
      <c r="D496" s="80"/>
      <c r="E496" s="80"/>
      <c r="F496" s="80"/>
      <c r="G496" s="80"/>
      <c r="H496" s="80"/>
      <c r="I496" s="80"/>
      <c r="J496" s="80"/>
    </row>
    <row r="497" spans="1:10" ht="12.75">
      <c r="A497" s="80"/>
      <c r="B497" s="80"/>
      <c r="C497" s="80"/>
      <c r="D497" s="80"/>
      <c r="E497" s="80"/>
      <c r="F497" s="80"/>
      <c r="G497" s="80"/>
      <c r="H497" s="80"/>
      <c r="I497" s="80"/>
      <c r="J497" s="80"/>
    </row>
    <row r="498" spans="1:10" ht="12.75">
      <c r="A498" s="80"/>
      <c r="B498" s="80"/>
      <c r="C498" s="80"/>
      <c r="D498" s="80"/>
      <c r="E498" s="80"/>
      <c r="F498" s="80"/>
      <c r="G498" s="80"/>
      <c r="H498" s="80"/>
      <c r="I498" s="80"/>
      <c r="J498" s="80"/>
    </row>
    <row r="499" spans="1:10" ht="12.75">
      <c r="A499" s="80"/>
      <c r="B499" s="80"/>
      <c r="C499" s="80"/>
      <c r="D499" s="80"/>
      <c r="E499" s="80"/>
      <c r="F499" s="80"/>
      <c r="G499" s="80"/>
      <c r="H499" s="80"/>
      <c r="I499" s="80"/>
      <c r="J499" s="80"/>
    </row>
    <row r="500" spans="1:10" ht="12.75">
      <c r="A500" s="80"/>
      <c r="B500" s="80"/>
      <c r="C500" s="80"/>
      <c r="D500" s="80"/>
      <c r="E500" s="80"/>
      <c r="F500" s="80"/>
      <c r="G500" s="80"/>
      <c r="H500" s="80"/>
      <c r="I500" s="80"/>
      <c r="J500" s="80"/>
    </row>
    <row r="501" spans="1:10" ht="12.75">
      <c r="A501" s="80"/>
      <c r="B501" s="80"/>
      <c r="C501" s="80"/>
      <c r="D501" s="80"/>
      <c r="E501" s="80"/>
      <c r="F501" s="80"/>
      <c r="G501" s="80"/>
      <c r="H501" s="80"/>
      <c r="I501" s="80"/>
      <c r="J501" s="80"/>
    </row>
    <row r="502" spans="1:10" ht="12.75">
      <c r="A502" s="80"/>
      <c r="B502" s="80"/>
      <c r="C502" s="80"/>
      <c r="D502" s="80"/>
      <c r="E502" s="80"/>
      <c r="F502" s="80"/>
      <c r="G502" s="80"/>
      <c r="H502" s="80"/>
      <c r="I502" s="80"/>
      <c r="J502" s="80"/>
    </row>
    <row r="503" spans="1:10" ht="12.75">
      <c r="A503" s="80"/>
      <c r="B503" s="80"/>
      <c r="C503" s="80"/>
      <c r="D503" s="80"/>
      <c r="E503" s="80"/>
      <c r="F503" s="80"/>
      <c r="G503" s="80"/>
      <c r="H503" s="80"/>
      <c r="I503" s="80"/>
      <c r="J503" s="80"/>
    </row>
    <row r="504" spans="1:10" ht="12.75">
      <c r="A504" s="80"/>
      <c r="B504" s="80"/>
      <c r="C504" s="80"/>
      <c r="D504" s="80"/>
      <c r="E504" s="80"/>
      <c r="F504" s="80"/>
      <c r="G504" s="80"/>
      <c r="H504" s="80"/>
      <c r="I504" s="80"/>
      <c r="J504" s="80"/>
    </row>
    <row r="505" spans="1:10" ht="12.75">
      <c r="A505" s="80"/>
      <c r="B505" s="80"/>
      <c r="C505" s="80"/>
      <c r="D505" s="80"/>
      <c r="E505" s="80"/>
      <c r="F505" s="80"/>
      <c r="G505" s="80"/>
      <c r="H505" s="80"/>
      <c r="I505" s="80"/>
      <c r="J505" s="80"/>
    </row>
    <row r="506" spans="1:10" ht="12.75">
      <c r="A506" s="80"/>
      <c r="B506" s="80"/>
      <c r="C506" s="80"/>
      <c r="D506" s="80"/>
      <c r="E506" s="80"/>
      <c r="F506" s="80"/>
      <c r="G506" s="80"/>
      <c r="H506" s="80"/>
      <c r="I506" s="80"/>
      <c r="J506" s="80"/>
    </row>
    <row r="507" spans="1:10" ht="12.75">
      <c r="A507" s="80"/>
      <c r="B507" s="80"/>
      <c r="C507" s="80"/>
      <c r="D507" s="80"/>
      <c r="E507" s="80"/>
      <c r="F507" s="80"/>
      <c r="G507" s="80"/>
      <c r="H507" s="80"/>
      <c r="I507" s="80"/>
      <c r="J507" s="80"/>
    </row>
    <row r="508" spans="1:10" ht="12.75">
      <c r="A508" s="80"/>
      <c r="B508" s="80"/>
      <c r="C508" s="80"/>
      <c r="D508" s="80"/>
      <c r="E508" s="80"/>
      <c r="F508" s="80"/>
      <c r="G508" s="80"/>
      <c r="H508" s="80"/>
      <c r="I508" s="80"/>
      <c r="J508" s="80"/>
    </row>
    <row r="509" spans="1:10" ht="12.75">
      <c r="A509" s="80"/>
      <c r="B509" s="80"/>
      <c r="C509" s="80"/>
      <c r="D509" s="80"/>
      <c r="E509" s="80"/>
      <c r="F509" s="80"/>
      <c r="G509" s="80"/>
      <c r="H509" s="80"/>
      <c r="I509" s="80"/>
      <c r="J509" s="80"/>
    </row>
    <row r="510" spans="1:10" ht="12.75">
      <c r="A510" s="80"/>
      <c r="B510" s="80"/>
      <c r="C510" s="80"/>
      <c r="D510" s="80"/>
      <c r="E510" s="80"/>
      <c r="F510" s="80"/>
      <c r="G510" s="80"/>
      <c r="H510" s="80"/>
      <c r="I510" s="80"/>
      <c r="J510" s="80"/>
    </row>
    <row r="511" spans="1:10" ht="12.75">
      <c r="A511" s="80"/>
      <c r="B511" s="80"/>
      <c r="C511" s="80"/>
      <c r="D511" s="80"/>
      <c r="E511" s="80"/>
      <c r="F511" s="80"/>
      <c r="G511" s="80"/>
      <c r="H511" s="80"/>
      <c r="I511" s="80"/>
      <c r="J511" s="80"/>
    </row>
    <row r="512" spans="1:10" ht="12.75">
      <c r="A512" s="80"/>
      <c r="B512" s="80"/>
      <c r="C512" s="80"/>
      <c r="D512" s="80"/>
      <c r="E512" s="80"/>
      <c r="F512" s="80"/>
      <c r="G512" s="80"/>
      <c r="H512" s="80"/>
      <c r="I512" s="80"/>
      <c r="J512" s="80"/>
    </row>
    <row r="513" spans="1:10" ht="12.75">
      <c r="A513" s="80"/>
      <c r="B513" s="80"/>
      <c r="C513" s="80"/>
      <c r="D513" s="80"/>
      <c r="E513" s="80"/>
      <c r="F513" s="80"/>
      <c r="G513" s="80"/>
      <c r="H513" s="80"/>
      <c r="I513" s="80"/>
      <c r="J513" s="80"/>
    </row>
    <row r="514" spans="1:10" ht="12.75">
      <c r="A514" s="80"/>
      <c r="B514" s="80"/>
      <c r="C514" s="80"/>
      <c r="D514" s="80"/>
      <c r="E514" s="80"/>
      <c r="F514" s="80"/>
      <c r="G514" s="80"/>
      <c r="H514" s="80"/>
      <c r="I514" s="80"/>
      <c r="J514" s="80"/>
    </row>
    <row r="515" spans="1:10" ht="12.75">
      <c r="A515" s="80"/>
      <c r="B515" s="80"/>
      <c r="C515" s="80"/>
      <c r="D515" s="80"/>
      <c r="E515" s="80"/>
      <c r="F515" s="80"/>
      <c r="G515" s="80"/>
      <c r="H515" s="80"/>
      <c r="I515" s="80"/>
      <c r="J515" s="80"/>
    </row>
    <row r="516" spans="1:10" ht="12.75">
      <c r="A516" s="80"/>
      <c r="B516" s="80"/>
      <c r="C516" s="80"/>
      <c r="D516" s="80"/>
      <c r="E516" s="80"/>
      <c r="F516" s="80"/>
      <c r="G516" s="80"/>
      <c r="H516" s="80"/>
      <c r="I516" s="80"/>
      <c r="J516" s="80"/>
    </row>
    <row r="517" spans="1:10" ht="12.75">
      <c r="A517" s="80"/>
      <c r="B517" s="80"/>
      <c r="C517" s="80"/>
      <c r="D517" s="80"/>
      <c r="E517" s="80"/>
      <c r="F517" s="80"/>
      <c r="G517" s="80"/>
      <c r="H517" s="80"/>
      <c r="I517" s="80"/>
      <c r="J517" s="80"/>
    </row>
    <row r="518" spans="1:10" ht="12.75">
      <c r="A518" s="80"/>
      <c r="B518" s="80"/>
      <c r="C518" s="80"/>
      <c r="D518" s="80"/>
      <c r="E518" s="80"/>
      <c r="F518" s="80"/>
      <c r="G518" s="80"/>
      <c r="H518" s="80"/>
      <c r="I518" s="80"/>
      <c r="J518" s="80"/>
    </row>
    <row r="519" spans="1:10" ht="12.75">
      <c r="A519" s="80"/>
      <c r="B519" s="80"/>
      <c r="C519" s="80"/>
      <c r="D519" s="80"/>
      <c r="E519" s="80"/>
      <c r="F519" s="80"/>
      <c r="G519" s="80"/>
      <c r="H519" s="80"/>
      <c r="I519" s="80"/>
      <c r="J519" s="80"/>
    </row>
    <row r="520" spans="1:10" ht="12.75">
      <c r="A520" s="80"/>
      <c r="B520" s="80"/>
      <c r="C520" s="80"/>
      <c r="D520" s="80"/>
      <c r="E520" s="80"/>
      <c r="F520" s="80"/>
      <c r="G520" s="80"/>
      <c r="H520" s="80"/>
      <c r="I520" s="80"/>
      <c r="J520" s="80"/>
    </row>
    <row r="521" spans="1:10" ht="12.75">
      <c r="A521" s="80"/>
      <c r="B521" s="80"/>
      <c r="C521" s="80"/>
      <c r="D521" s="80"/>
      <c r="E521" s="80"/>
      <c r="F521" s="80"/>
      <c r="G521" s="80"/>
      <c r="H521" s="80"/>
      <c r="I521" s="80"/>
      <c r="J521" s="80"/>
    </row>
    <row r="522" spans="1:10" ht="12.75">
      <c r="A522" s="80"/>
      <c r="B522" s="80"/>
      <c r="C522" s="80"/>
      <c r="D522" s="80"/>
      <c r="E522" s="80"/>
      <c r="F522" s="80"/>
      <c r="G522" s="80"/>
      <c r="H522" s="80"/>
      <c r="I522" s="80"/>
      <c r="J522" s="80"/>
    </row>
    <row r="523" spans="1:10" ht="12.75">
      <c r="A523" s="80"/>
      <c r="B523" s="80"/>
      <c r="C523" s="80"/>
      <c r="D523" s="80"/>
      <c r="E523" s="80"/>
      <c r="F523" s="80"/>
      <c r="G523" s="80"/>
      <c r="H523" s="80"/>
      <c r="I523" s="80"/>
      <c r="J523" s="80"/>
    </row>
    <row r="524" spans="1:10" ht="12.75">
      <c r="A524" s="80"/>
      <c r="B524" s="80"/>
      <c r="C524" s="80"/>
      <c r="D524" s="80"/>
      <c r="E524" s="80"/>
      <c r="F524" s="80"/>
      <c r="G524" s="80"/>
      <c r="H524" s="80"/>
      <c r="I524" s="80"/>
      <c r="J524" s="80"/>
    </row>
    <row r="525" spans="1:10" ht="12.75">
      <c r="A525" s="80"/>
      <c r="B525" s="80"/>
      <c r="C525" s="80"/>
      <c r="D525" s="80"/>
      <c r="E525" s="80"/>
      <c r="F525" s="80"/>
      <c r="G525" s="80"/>
      <c r="H525" s="80"/>
      <c r="I525" s="80"/>
      <c r="J525" s="80"/>
    </row>
    <row r="526" spans="1:10" ht="12.75">
      <c r="A526" s="80"/>
      <c r="B526" s="80"/>
      <c r="C526" s="80"/>
      <c r="D526" s="80"/>
      <c r="E526" s="80"/>
      <c r="F526" s="80"/>
      <c r="G526" s="80"/>
      <c r="H526" s="80"/>
      <c r="I526" s="80"/>
      <c r="J526" s="80"/>
    </row>
    <row r="527" spans="1:10" ht="12.75">
      <c r="A527" s="80"/>
      <c r="B527" s="80"/>
      <c r="C527" s="80"/>
      <c r="D527" s="80"/>
      <c r="E527" s="80"/>
      <c r="F527" s="80"/>
      <c r="G527" s="80"/>
      <c r="H527" s="80"/>
      <c r="I527" s="80"/>
      <c r="J527" s="80"/>
    </row>
    <row r="528" spans="1:10" ht="12.75">
      <c r="A528" s="80"/>
      <c r="B528" s="80"/>
      <c r="C528" s="80"/>
      <c r="D528" s="80"/>
      <c r="E528" s="80"/>
      <c r="F528" s="80"/>
      <c r="G528" s="80"/>
      <c r="H528" s="80"/>
      <c r="I528" s="80"/>
      <c r="J528" s="80"/>
    </row>
    <row r="529" spans="1:10" ht="12.75">
      <c r="A529" s="80"/>
      <c r="B529" s="80"/>
      <c r="C529" s="80"/>
      <c r="D529" s="80"/>
      <c r="E529" s="80"/>
      <c r="F529" s="80"/>
      <c r="G529" s="80"/>
      <c r="H529" s="80"/>
      <c r="I529" s="80"/>
      <c r="J529" s="80"/>
    </row>
    <row r="530" spans="1:10" ht="12.75">
      <c r="A530" s="80"/>
      <c r="B530" s="80"/>
      <c r="C530" s="80"/>
      <c r="D530" s="80"/>
      <c r="E530" s="80"/>
      <c r="F530" s="80"/>
      <c r="G530" s="80"/>
      <c r="H530" s="80"/>
      <c r="I530" s="80"/>
      <c r="J530" s="80"/>
    </row>
    <row r="531" spans="1:10" ht="12.75">
      <c r="A531" s="80"/>
      <c r="B531" s="80"/>
      <c r="C531" s="80"/>
      <c r="D531" s="80"/>
      <c r="E531" s="80"/>
      <c r="F531" s="80"/>
      <c r="G531" s="80"/>
      <c r="H531" s="80"/>
      <c r="I531" s="80"/>
      <c r="J531" s="80"/>
    </row>
    <row r="532" spans="1:10" ht="12.75">
      <c r="A532" s="80"/>
      <c r="B532" s="80"/>
      <c r="C532" s="80"/>
      <c r="D532" s="80"/>
      <c r="E532" s="80"/>
      <c r="F532" s="80"/>
      <c r="G532" s="80"/>
      <c r="H532" s="80"/>
      <c r="I532" s="80"/>
      <c r="J532" s="80"/>
    </row>
    <row r="533" spans="1:10" ht="12.75">
      <c r="A533" s="80"/>
      <c r="B533" s="80"/>
      <c r="C533" s="80"/>
      <c r="D533" s="80"/>
      <c r="E533" s="80"/>
      <c r="F533" s="80"/>
      <c r="G533" s="80"/>
      <c r="H533" s="80"/>
      <c r="I533" s="80"/>
      <c r="J533" s="80"/>
    </row>
    <row r="534" spans="1:10" ht="12.75">
      <c r="A534" s="80"/>
      <c r="B534" s="80"/>
      <c r="C534" s="80"/>
      <c r="D534" s="80"/>
      <c r="E534" s="80"/>
      <c r="F534" s="80"/>
      <c r="G534" s="80"/>
      <c r="H534" s="80"/>
      <c r="I534" s="80"/>
      <c r="J534" s="80"/>
    </row>
    <row r="535" spans="1:10" ht="12.75">
      <c r="A535" s="80"/>
      <c r="B535" s="80"/>
      <c r="C535" s="80"/>
      <c r="D535" s="80"/>
      <c r="E535" s="80"/>
      <c r="F535" s="80"/>
      <c r="G535" s="80"/>
      <c r="H535" s="80"/>
      <c r="I535" s="80"/>
      <c r="J535" s="80"/>
    </row>
    <row r="536" spans="1:10" ht="12.75">
      <c r="A536" s="80"/>
      <c r="B536" s="80"/>
      <c r="C536" s="80"/>
      <c r="D536" s="80"/>
      <c r="E536" s="80"/>
      <c r="F536" s="80"/>
      <c r="G536" s="80"/>
      <c r="H536" s="80"/>
      <c r="I536" s="80"/>
      <c r="J536" s="80"/>
    </row>
    <row r="537" spans="1:10" ht="12.75">
      <c r="A537" s="80"/>
      <c r="B537" s="80"/>
      <c r="C537" s="80"/>
      <c r="D537" s="80"/>
      <c r="E537" s="80"/>
      <c r="F537" s="80"/>
      <c r="G537" s="80"/>
      <c r="H537" s="80"/>
      <c r="I537" s="80"/>
      <c r="J537" s="80"/>
    </row>
    <row r="538" spans="1:10" ht="12.75">
      <c r="A538" s="80"/>
      <c r="B538" s="80"/>
      <c r="C538" s="80"/>
      <c r="D538" s="80"/>
      <c r="E538" s="80"/>
      <c r="F538" s="80"/>
      <c r="G538" s="80"/>
      <c r="H538" s="80"/>
      <c r="I538" s="80"/>
      <c r="J538" s="80"/>
    </row>
    <row r="539" spans="1:10" ht="12.75">
      <c r="A539" s="80"/>
      <c r="B539" s="80"/>
      <c r="C539" s="80"/>
      <c r="D539" s="80"/>
      <c r="E539" s="80"/>
      <c r="F539" s="80"/>
      <c r="G539" s="80"/>
      <c r="H539" s="80"/>
      <c r="I539" s="80"/>
      <c r="J539" s="80"/>
    </row>
    <row r="540" spans="1:10" ht="12.75">
      <c r="A540" s="80"/>
      <c r="B540" s="80"/>
      <c r="C540" s="80"/>
      <c r="D540" s="80"/>
      <c r="E540" s="80"/>
      <c r="F540" s="80"/>
      <c r="G540" s="80"/>
      <c r="H540" s="80"/>
      <c r="I540" s="80"/>
      <c r="J540" s="80"/>
    </row>
    <row r="541" spans="1:10" ht="12.75">
      <c r="A541" s="80"/>
      <c r="B541" s="80"/>
      <c r="C541" s="80"/>
      <c r="D541" s="80"/>
      <c r="E541" s="80"/>
      <c r="F541" s="80"/>
      <c r="G541" s="80"/>
      <c r="H541" s="80"/>
      <c r="I541" s="80"/>
      <c r="J541" s="80"/>
    </row>
    <row r="542" spans="1:10" ht="12.75">
      <c r="A542" s="80"/>
      <c r="B542" s="80"/>
      <c r="C542" s="80"/>
      <c r="D542" s="80"/>
      <c r="E542" s="80"/>
      <c r="F542" s="80"/>
      <c r="G542" s="80"/>
      <c r="H542" s="80"/>
      <c r="I542" s="80"/>
      <c r="J542" s="80"/>
    </row>
    <row r="543" spans="1:10" ht="12.75">
      <c r="A543" s="80"/>
      <c r="B543" s="80"/>
      <c r="C543" s="80"/>
      <c r="D543" s="80"/>
      <c r="E543" s="80"/>
      <c r="F543" s="80"/>
      <c r="G543" s="80"/>
      <c r="H543" s="80"/>
      <c r="I543" s="80"/>
      <c r="J543" s="80"/>
    </row>
    <row r="544" spans="1:10" ht="12.75">
      <c r="A544" s="80"/>
      <c r="B544" s="80"/>
      <c r="C544" s="80"/>
      <c r="D544" s="80"/>
      <c r="E544" s="80"/>
      <c r="F544" s="80"/>
      <c r="G544" s="80"/>
      <c r="H544" s="80"/>
      <c r="I544" s="80"/>
      <c r="J544" s="80"/>
    </row>
    <row r="545" spans="1:10" ht="12.75">
      <c r="A545" s="80"/>
      <c r="B545" s="80"/>
      <c r="C545" s="80"/>
      <c r="D545" s="80"/>
      <c r="E545" s="80"/>
      <c r="F545" s="80"/>
      <c r="G545" s="80"/>
      <c r="H545" s="80"/>
      <c r="I545" s="80"/>
      <c r="J545" s="80"/>
    </row>
    <row r="546" spans="1:10" ht="12.75">
      <c r="A546" s="80"/>
      <c r="B546" s="80"/>
      <c r="C546" s="80"/>
      <c r="D546" s="80"/>
      <c r="E546" s="80"/>
      <c r="F546" s="80"/>
      <c r="G546" s="80"/>
      <c r="H546" s="80"/>
      <c r="I546" s="80"/>
      <c r="J546" s="80"/>
    </row>
    <row r="547" spans="1:10" ht="12.75">
      <c r="A547" s="80"/>
      <c r="B547" s="80"/>
      <c r="C547" s="80"/>
      <c r="D547" s="80"/>
      <c r="E547" s="80"/>
      <c r="F547" s="80"/>
      <c r="G547" s="80"/>
      <c r="H547" s="80"/>
      <c r="I547" s="80"/>
      <c r="J547" s="80"/>
    </row>
    <row r="548" spans="1:10" ht="12.75">
      <c r="A548" s="80"/>
      <c r="B548" s="80"/>
      <c r="C548" s="80"/>
      <c r="D548" s="80"/>
      <c r="E548" s="80"/>
      <c r="F548" s="80"/>
      <c r="G548" s="80"/>
      <c r="H548" s="80"/>
      <c r="I548" s="80"/>
      <c r="J548" s="80"/>
    </row>
    <row r="549" spans="1:10" ht="12.75">
      <c r="A549" s="80"/>
      <c r="B549" s="80"/>
      <c r="C549" s="80"/>
      <c r="D549" s="80"/>
      <c r="E549" s="80"/>
      <c r="F549" s="80"/>
      <c r="G549" s="80"/>
      <c r="H549" s="80"/>
      <c r="I549" s="80"/>
      <c r="J549" s="80"/>
    </row>
    <row r="550" spans="1:10" ht="12.75">
      <c r="A550" s="80"/>
      <c r="B550" s="80"/>
      <c r="C550" s="80"/>
      <c r="D550" s="80"/>
      <c r="E550" s="80"/>
      <c r="F550" s="80"/>
      <c r="G550" s="80"/>
      <c r="H550" s="80"/>
      <c r="I550" s="80"/>
      <c r="J550" s="80"/>
    </row>
    <row r="551" spans="1:10" ht="12.75">
      <c r="A551" s="80"/>
      <c r="B551" s="80"/>
      <c r="C551" s="80"/>
      <c r="D551" s="80"/>
      <c r="E551" s="80"/>
      <c r="F551" s="80"/>
      <c r="G551" s="80"/>
      <c r="H551" s="80"/>
      <c r="I551" s="80"/>
      <c r="J551" s="80"/>
    </row>
    <row r="552" spans="1:10" ht="12.75">
      <c r="A552" s="80"/>
      <c r="B552" s="80"/>
      <c r="C552" s="80"/>
      <c r="D552" s="80"/>
      <c r="E552" s="80"/>
      <c r="F552" s="80"/>
      <c r="G552" s="80"/>
      <c r="H552" s="80"/>
      <c r="I552" s="80"/>
      <c r="J552" s="80"/>
    </row>
    <row r="553" spans="1:10" ht="12.75">
      <c r="A553" s="80"/>
      <c r="B553" s="80"/>
      <c r="C553" s="80"/>
      <c r="D553" s="80"/>
      <c r="E553" s="80"/>
      <c r="F553" s="80"/>
      <c r="G553" s="80"/>
      <c r="H553" s="80"/>
      <c r="I553" s="80"/>
      <c r="J553" s="80"/>
    </row>
    <row r="554" spans="1:10" ht="12.75">
      <c r="A554" s="80"/>
      <c r="B554" s="80"/>
      <c r="C554" s="80"/>
      <c r="D554" s="80"/>
      <c r="E554" s="80"/>
      <c r="F554" s="80"/>
      <c r="G554" s="80"/>
      <c r="H554" s="80"/>
      <c r="I554" s="80"/>
      <c r="J554" s="80"/>
    </row>
    <row r="555" spans="1:10" ht="12.75">
      <c r="A555" s="80"/>
      <c r="B555" s="80"/>
      <c r="C555" s="80"/>
      <c r="D555" s="80"/>
      <c r="E555" s="80"/>
      <c r="F555" s="80"/>
      <c r="G555" s="80"/>
      <c r="H555" s="80"/>
      <c r="I555" s="80"/>
      <c r="J555" s="80"/>
    </row>
    <row r="556" spans="1:10" ht="12.75">
      <c r="A556" s="80"/>
      <c r="B556" s="80"/>
      <c r="C556" s="80"/>
      <c r="D556" s="80"/>
      <c r="E556" s="80"/>
      <c r="F556" s="80"/>
      <c r="G556" s="80"/>
      <c r="H556" s="80"/>
      <c r="I556" s="80"/>
      <c r="J556" s="80"/>
    </row>
    <row r="557" spans="1:10" ht="12.75">
      <c r="A557" s="80"/>
      <c r="B557" s="80"/>
      <c r="C557" s="80"/>
      <c r="D557" s="80"/>
      <c r="E557" s="80"/>
      <c r="F557" s="80"/>
      <c r="G557" s="80"/>
      <c r="H557" s="80"/>
      <c r="I557" s="80"/>
      <c r="J557" s="80"/>
    </row>
    <row r="558" spans="1:10" ht="12.75">
      <c r="A558" s="80"/>
      <c r="B558" s="80"/>
      <c r="C558" s="80"/>
      <c r="D558" s="80"/>
      <c r="E558" s="80"/>
      <c r="F558" s="80"/>
      <c r="G558" s="80"/>
      <c r="H558" s="80"/>
      <c r="I558" s="80"/>
      <c r="J558" s="80"/>
    </row>
    <row r="559" spans="1:10" ht="12.75">
      <c r="A559" s="80"/>
      <c r="B559" s="80"/>
      <c r="C559" s="80"/>
      <c r="D559" s="80"/>
      <c r="E559" s="80"/>
      <c r="F559" s="80"/>
      <c r="G559" s="80"/>
      <c r="H559" s="80"/>
      <c r="I559" s="80"/>
      <c r="J559" s="80"/>
    </row>
    <row r="560" spans="1:10" ht="12.75">
      <c r="A560" s="80"/>
      <c r="B560" s="80"/>
      <c r="C560" s="80"/>
      <c r="D560" s="80"/>
      <c r="E560" s="80"/>
      <c r="F560" s="80"/>
      <c r="G560" s="80"/>
      <c r="H560" s="80"/>
      <c r="I560" s="80"/>
      <c r="J560" s="80"/>
    </row>
    <row r="561" spans="1:10" ht="12.75">
      <c r="A561" s="80"/>
      <c r="B561" s="80"/>
      <c r="C561" s="80"/>
      <c r="D561" s="80"/>
      <c r="E561" s="80"/>
      <c r="F561" s="80"/>
      <c r="G561" s="80"/>
      <c r="H561" s="80"/>
      <c r="I561" s="80"/>
      <c r="J561" s="80"/>
    </row>
    <row r="562" spans="1:10" ht="12.75">
      <c r="A562" s="80"/>
      <c r="B562" s="80"/>
      <c r="C562" s="80"/>
      <c r="D562" s="80"/>
      <c r="E562" s="80"/>
      <c r="F562" s="80"/>
      <c r="G562" s="80"/>
      <c r="H562" s="80"/>
      <c r="I562" s="80"/>
      <c r="J562" s="80"/>
    </row>
    <row r="563" spans="1:10" ht="12.75">
      <c r="A563" s="80"/>
      <c r="B563" s="80"/>
      <c r="C563" s="80"/>
      <c r="D563" s="80"/>
      <c r="E563" s="80"/>
      <c r="F563" s="80"/>
      <c r="G563" s="80"/>
      <c r="H563" s="80"/>
      <c r="I563" s="80"/>
      <c r="J563" s="80"/>
    </row>
    <row r="564" spans="1:10" ht="12.75">
      <c r="A564" s="80"/>
      <c r="B564" s="80"/>
      <c r="C564" s="80"/>
      <c r="D564" s="80"/>
      <c r="E564" s="80"/>
      <c r="F564" s="80"/>
      <c r="G564" s="80"/>
      <c r="H564" s="80"/>
      <c r="I564" s="80"/>
      <c r="J564" s="80"/>
    </row>
    <row r="565" spans="1:10" ht="12.75">
      <c r="A565" s="80"/>
      <c r="B565" s="80"/>
      <c r="C565" s="80"/>
      <c r="D565" s="80"/>
      <c r="E565" s="80"/>
      <c r="F565" s="80"/>
      <c r="G565" s="80"/>
      <c r="H565" s="80"/>
      <c r="I565" s="80"/>
      <c r="J565" s="80"/>
    </row>
    <row r="566" spans="1:10" ht="12.75">
      <c r="A566" s="80"/>
      <c r="B566" s="80"/>
      <c r="C566" s="80"/>
      <c r="D566" s="80"/>
      <c r="E566" s="80"/>
      <c r="F566" s="80"/>
      <c r="G566" s="80"/>
      <c r="H566" s="80"/>
      <c r="I566" s="80"/>
      <c r="J566" s="80"/>
    </row>
    <row r="567" spans="1:10" ht="12.75">
      <c r="A567" s="80"/>
      <c r="B567" s="80"/>
      <c r="C567" s="80"/>
      <c r="D567" s="80"/>
      <c r="E567" s="80"/>
      <c r="F567" s="80"/>
      <c r="G567" s="80"/>
      <c r="H567" s="80"/>
      <c r="I567" s="80"/>
      <c r="J567" s="80"/>
    </row>
    <row r="568" spans="1:10" ht="12.75">
      <c r="A568" s="80"/>
      <c r="B568" s="80"/>
      <c r="C568" s="80"/>
      <c r="D568" s="80"/>
      <c r="E568" s="80"/>
      <c r="F568" s="80"/>
      <c r="G568" s="80"/>
      <c r="H568" s="80"/>
      <c r="I568" s="80"/>
      <c r="J568" s="80"/>
    </row>
    <row r="569" spans="1:10" ht="12.75">
      <c r="A569" s="80"/>
      <c r="B569" s="80"/>
      <c r="C569" s="80"/>
      <c r="D569" s="80"/>
      <c r="E569" s="80"/>
      <c r="F569" s="80"/>
      <c r="G569" s="80"/>
      <c r="H569" s="80"/>
      <c r="I569" s="80"/>
      <c r="J569" s="80"/>
    </row>
    <row r="570" spans="1:10" ht="12.75">
      <c r="A570" s="80"/>
      <c r="B570" s="80"/>
      <c r="C570" s="80"/>
      <c r="D570" s="80"/>
      <c r="E570" s="80"/>
      <c r="F570" s="80"/>
      <c r="G570" s="80"/>
      <c r="H570" s="80"/>
      <c r="I570" s="80"/>
      <c r="J570" s="80"/>
    </row>
    <row r="571" spans="1:10" ht="12.75">
      <c r="A571" s="80"/>
      <c r="B571" s="80"/>
      <c r="C571" s="80"/>
      <c r="D571" s="80"/>
      <c r="E571" s="80"/>
      <c r="F571" s="80"/>
      <c r="G571" s="80"/>
      <c r="H571" s="80"/>
      <c r="I571" s="80"/>
      <c r="J571" s="80"/>
    </row>
    <row r="572" spans="1:10" ht="12.75">
      <c r="A572" s="80"/>
      <c r="B572" s="80"/>
      <c r="C572" s="80"/>
      <c r="D572" s="80"/>
      <c r="E572" s="80"/>
      <c r="F572" s="80"/>
      <c r="G572" s="80"/>
      <c r="H572" s="80"/>
      <c r="I572" s="80"/>
      <c r="J572" s="80"/>
    </row>
    <row r="573" spans="1:10" ht="12.75">
      <c r="A573" s="80"/>
      <c r="B573" s="80"/>
      <c r="C573" s="80"/>
      <c r="D573" s="80"/>
      <c r="E573" s="80"/>
      <c r="F573" s="80"/>
      <c r="G573" s="80"/>
      <c r="H573" s="80"/>
      <c r="I573" s="80"/>
      <c r="J573" s="80"/>
    </row>
    <row r="574" spans="1:10" ht="12.75">
      <c r="A574" s="80"/>
      <c r="B574" s="80"/>
      <c r="C574" s="80"/>
      <c r="D574" s="80"/>
      <c r="E574" s="80"/>
      <c r="F574" s="80"/>
      <c r="G574" s="80"/>
      <c r="H574" s="80"/>
      <c r="I574" s="80"/>
      <c r="J574" s="80"/>
    </row>
    <row r="575" spans="1:10" ht="12.75">
      <c r="A575" s="80"/>
      <c r="B575" s="80"/>
      <c r="C575" s="80"/>
      <c r="D575" s="80"/>
      <c r="E575" s="80"/>
      <c r="F575" s="80"/>
      <c r="G575" s="80"/>
      <c r="H575" s="80"/>
      <c r="I575" s="80"/>
      <c r="J575" s="80"/>
    </row>
    <row r="576" spans="1:10" ht="12.75">
      <c r="A576" s="80"/>
      <c r="B576" s="80"/>
      <c r="C576" s="80"/>
      <c r="D576" s="80"/>
      <c r="E576" s="80"/>
      <c r="F576" s="80"/>
      <c r="G576" s="80"/>
      <c r="H576" s="80"/>
      <c r="I576" s="80"/>
      <c r="J576" s="80"/>
    </row>
    <row r="577" spans="1:10" ht="12.75">
      <c r="A577" s="80"/>
      <c r="B577" s="80"/>
      <c r="C577" s="80"/>
      <c r="D577" s="80"/>
      <c r="E577" s="80"/>
      <c r="F577" s="80"/>
      <c r="G577" s="80"/>
      <c r="H577" s="80"/>
      <c r="I577" s="80"/>
      <c r="J577" s="80"/>
    </row>
    <row r="578" spans="1:10" ht="12.75">
      <c r="A578" s="80"/>
      <c r="B578" s="80"/>
      <c r="C578" s="80"/>
      <c r="D578" s="80"/>
      <c r="E578" s="80"/>
      <c r="F578" s="80"/>
      <c r="G578" s="80"/>
      <c r="H578" s="80"/>
      <c r="I578" s="80"/>
      <c r="J578" s="80"/>
    </row>
    <row r="579" spans="1:10" ht="12.75">
      <c r="A579" s="80"/>
      <c r="B579" s="80"/>
      <c r="C579" s="80"/>
      <c r="D579" s="80"/>
      <c r="E579" s="80"/>
      <c r="F579" s="80"/>
      <c r="G579" s="80"/>
      <c r="H579" s="80"/>
      <c r="I579" s="80"/>
      <c r="J579" s="80"/>
    </row>
    <row r="580" spans="1:10" ht="12.75">
      <c r="A580" s="80"/>
      <c r="B580" s="80"/>
      <c r="C580" s="80"/>
      <c r="D580" s="80"/>
      <c r="E580" s="80"/>
      <c r="F580" s="80"/>
      <c r="G580" s="80"/>
      <c r="H580" s="80"/>
      <c r="I580" s="80"/>
      <c r="J580" s="80"/>
    </row>
    <row r="581" spans="1:10" ht="12.75">
      <c r="A581" s="80"/>
      <c r="B581" s="80"/>
      <c r="C581" s="80"/>
      <c r="D581" s="80"/>
      <c r="E581" s="80"/>
      <c r="F581" s="80"/>
      <c r="G581" s="80"/>
      <c r="H581" s="80"/>
      <c r="I581" s="80"/>
      <c r="J581" s="80"/>
    </row>
    <row r="582" spans="1:10" ht="12.75">
      <c r="A582" s="80"/>
      <c r="B582" s="80"/>
      <c r="C582" s="80"/>
      <c r="D582" s="80"/>
      <c r="E582" s="80"/>
      <c r="F582" s="80"/>
      <c r="G582" s="80"/>
      <c r="H582" s="80"/>
      <c r="I582" s="80"/>
      <c r="J582" s="80"/>
    </row>
    <row r="583" spans="1:10" ht="12.75">
      <c r="A583" s="80"/>
      <c r="B583" s="80"/>
      <c r="C583" s="80"/>
      <c r="D583" s="80"/>
      <c r="E583" s="80"/>
      <c r="F583" s="80"/>
      <c r="G583" s="80"/>
      <c r="H583" s="80"/>
      <c r="I583" s="80"/>
      <c r="J583" s="80"/>
    </row>
    <row r="584" spans="1:10" ht="12.75">
      <c r="A584" s="80"/>
      <c r="B584" s="80"/>
      <c r="C584" s="80"/>
      <c r="D584" s="80"/>
      <c r="E584" s="80"/>
      <c r="F584" s="80"/>
      <c r="G584" s="80"/>
      <c r="H584" s="80"/>
      <c r="I584" s="80"/>
      <c r="J584" s="80"/>
    </row>
    <row r="585" spans="1:10" ht="12.75">
      <c r="A585" s="80"/>
      <c r="B585" s="80"/>
      <c r="C585" s="80"/>
      <c r="D585" s="80"/>
      <c r="E585" s="80"/>
      <c r="F585" s="80"/>
      <c r="G585" s="80"/>
      <c r="H585" s="80"/>
      <c r="I585" s="80"/>
      <c r="J585" s="80"/>
    </row>
    <row r="586" spans="1:10" ht="12.75">
      <c r="A586" s="80"/>
      <c r="B586" s="80"/>
      <c r="C586" s="80"/>
      <c r="D586" s="80"/>
      <c r="E586" s="80"/>
      <c r="F586" s="80"/>
      <c r="G586" s="80"/>
      <c r="H586" s="80"/>
      <c r="I586" s="80"/>
      <c r="J586" s="80"/>
    </row>
    <row r="587" spans="1:10" ht="12.75">
      <c r="A587" s="80"/>
      <c r="B587" s="80"/>
      <c r="C587" s="80"/>
      <c r="D587" s="80"/>
      <c r="E587" s="80"/>
      <c r="F587" s="80"/>
      <c r="G587" s="80"/>
      <c r="H587" s="80"/>
      <c r="I587" s="80"/>
      <c r="J587" s="80"/>
    </row>
    <row r="588" spans="1:10" ht="12.75">
      <c r="A588" s="80"/>
      <c r="B588" s="80"/>
      <c r="C588" s="80"/>
      <c r="D588" s="80"/>
      <c r="E588" s="80"/>
      <c r="F588" s="80"/>
      <c r="G588" s="80"/>
      <c r="H588" s="80"/>
      <c r="I588" s="80"/>
      <c r="J588" s="80"/>
    </row>
    <row r="589" spans="1:10" ht="12.75">
      <c r="A589" s="80"/>
      <c r="B589" s="80"/>
      <c r="C589" s="80"/>
      <c r="D589" s="80"/>
      <c r="E589" s="80"/>
      <c r="F589" s="80"/>
      <c r="G589" s="80"/>
      <c r="H589" s="80"/>
      <c r="I589" s="80"/>
      <c r="J589" s="80"/>
    </row>
    <row r="590" spans="1:10" ht="12.75">
      <c r="A590" s="80"/>
      <c r="B590" s="80"/>
      <c r="C590" s="80"/>
      <c r="D590" s="80"/>
      <c r="E590" s="80"/>
      <c r="F590" s="80"/>
      <c r="G590" s="80"/>
      <c r="H590" s="80"/>
      <c r="I590" s="80"/>
      <c r="J590" s="80"/>
    </row>
    <row r="591" spans="1:10" ht="12.75">
      <c r="A591" s="80"/>
      <c r="B591" s="80"/>
      <c r="C591" s="80"/>
      <c r="D591" s="80"/>
      <c r="E591" s="80"/>
      <c r="F591" s="80"/>
      <c r="G591" s="80"/>
      <c r="H591" s="80"/>
      <c r="I591" s="80"/>
      <c r="J591" s="80"/>
    </row>
    <row r="592" spans="1:10" ht="12.75">
      <c r="A592" s="80"/>
      <c r="B592" s="80"/>
      <c r="C592" s="80"/>
      <c r="D592" s="80"/>
      <c r="E592" s="80"/>
      <c r="F592" s="80"/>
      <c r="G592" s="80"/>
      <c r="H592" s="80"/>
      <c r="I592" s="80"/>
      <c r="J592" s="80"/>
    </row>
    <row r="593" spans="1:10" ht="12.75">
      <c r="A593" s="80"/>
      <c r="B593" s="80"/>
      <c r="C593" s="80"/>
      <c r="D593" s="80"/>
      <c r="E593" s="80"/>
      <c r="F593" s="80"/>
      <c r="G593" s="80"/>
      <c r="H593" s="80"/>
      <c r="I593" s="80"/>
      <c r="J593" s="80"/>
    </row>
    <row r="594" spans="1:10" ht="12.75">
      <c r="A594" s="80"/>
      <c r="B594" s="80"/>
      <c r="C594" s="80"/>
      <c r="D594" s="80"/>
      <c r="E594" s="80"/>
      <c r="F594" s="80"/>
      <c r="G594" s="80"/>
      <c r="H594" s="80"/>
      <c r="I594" s="80"/>
      <c r="J594" s="80"/>
    </row>
    <row r="595" spans="1:10" ht="12.75">
      <c r="A595" s="80"/>
      <c r="B595" s="80"/>
      <c r="C595" s="80"/>
      <c r="D595" s="80"/>
      <c r="E595" s="80"/>
      <c r="F595" s="80"/>
      <c r="G595" s="80"/>
      <c r="H595" s="80"/>
      <c r="I595" s="80"/>
      <c r="J595" s="80"/>
    </row>
    <row r="596" spans="1:10" ht="12.75">
      <c r="A596" s="80"/>
      <c r="B596" s="80"/>
      <c r="C596" s="80"/>
      <c r="D596" s="80"/>
      <c r="E596" s="80"/>
      <c r="F596" s="80"/>
      <c r="G596" s="80"/>
      <c r="H596" s="80"/>
      <c r="I596" s="80"/>
      <c r="J596" s="80"/>
    </row>
    <row r="597" spans="1:10" ht="12.75">
      <c r="A597" s="80"/>
      <c r="B597" s="80"/>
      <c r="C597" s="80"/>
      <c r="D597" s="80"/>
      <c r="E597" s="80"/>
      <c r="F597" s="80"/>
      <c r="G597" s="80"/>
      <c r="H597" s="80"/>
      <c r="I597" s="80"/>
      <c r="J597" s="80"/>
    </row>
    <row r="598" spans="1:10" ht="12.75">
      <c r="A598" s="80"/>
      <c r="B598" s="80"/>
      <c r="C598" s="80"/>
      <c r="D598" s="80"/>
      <c r="E598" s="80"/>
      <c r="F598" s="80"/>
      <c r="G598" s="80"/>
      <c r="H598" s="80"/>
      <c r="I598" s="80"/>
      <c r="J598" s="80"/>
    </row>
    <row r="599" spans="1:10" ht="12.75">
      <c r="A599" s="80"/>
      <c r="B599" s="80"/>
      <c r="C599" s="80"/>
      <c r="D599" s="80"/>
      <c r="E599" s="80"/>
      <c r="F599" s="80"/>
      <c r="G599" s="80"/>
      <c r="H599" s="80"/>
      <c r="I599" s="80"/>
      <c r="J599" s="80"/>
    </row>
    <row r="600" spans="1:10" ht="12.75">
      <c r="A600" s="80"/>
      <c r="B600" s="80"/>
      <c r="C600" s="80"/>
      <c r="D600" s="80"/>
      <c r="E600" s="80"/>
      <c r="F600" s="80"/>
      <c r="G600" s="80"/>
      <c r="H600" s="80"/>
      <c r="I600" s="80"/>
      <c r="J600" s="80"/>
    </row>
    <row r="601" spans="1:10" ht="12.75">
      <c r="A601" s="80"/>
      <c r="B601" s="80"/>
      <c r="C601" s="80"/>
      <c r="D601" s="80"/>
      <c r="E601" s="80"/>
      <c r="F601" s="80"/>
      <c r="G601" s="80"/>
      <c r="H601" s="80"/>
      <c r="I601" s="80"/>
      <c r="J601" s="80"/>
    </row>
    <row r="602" spans="1:10" ht="12.75">
      <c r="A602" s="80"/>
      <c r="B602" s="80"/>
      <c r="C602" s="80"/>
      <c r="D602" s="80"/>
      <c r="E602" s="80"/>
      <c r="F602" s="80"/>
      <c r="G602" s="80"/>
      <c r="H602" s="80"/>
      <c r="I602" s="80"/>
      <c r="J602" s="80"/>
    </row>
    <row r="603" spans="1:10" ht="12.75">
      <c r="A603" s="80"/>
      <c r="B603" s="80"/>
      <c r="C603" s="80"/>
      <c r="D603" s="80"/>
      <c r="E603" s="80"/>
      <c r="F603" s="80"/>
      <c r="G603" s="80"/>
      <c r="H603" s="80"/>
      <c r="I603" s="80"/>
      <c r="J603" s="80"/>
    </row>
    <row r="604" spans="1:10" ht="12.75">
      <c r="A604" s="80"/>
      <c r="B604" s="80"/>
      <c r="C604" s="80"/>
      <c r="D604" s="80"/>
      <c r="E604" s="80"/>
      <c r="F604" s="80"/>
      <c r="G604" s="80"/>
      <c r="H604" s="80"/>
      <c r="I604" s="80"/>
      <c r="J604" s="80"/>
    </row>
    <row r="605" spans="1:10" ht="12.75">
      <c r="A605" s="80"/>
      <c r="B605" s="80"/>
      <c r="C605" s="80"/>
      <c r="D605" s="80"/>
      <c r="E605" s="80"/>
      <c r="F605" s="80"/>
      <c r="G605" s="80"/>
      <c r="H605" s="80"/>
      <c r="I605" s="80"/>
      <c r="J605" s="80"/>
    </row>
    <row r="606" spans="1:10" ht="12.75">
      <c r="A606" s="80"/>
      <c r="B606" s="80"/>
      <c r="C606" s="80"/>
      <c r="D606" s="80"/>
      <c r="E606" s="80"/>
      <c r="F606" s="80"/>
      <c r="G606" s="80"/>
      <c r="H606" s="80"/>
      <c r="I606" s="80"/>
      <c r="J606" s="80"/>
    </row>
    <row r="607" spans="1:10" ht="12.75">
      <c r="A607" s="80"/>
      <c r="B607" s="80"/>
      <c r="C607" s="80"/>
      <c r="D607" s="80"/>
      <c r="E607" s="80"/>
      <c r="F607" s="80"/>
      <c r="G607" s="80"/>
      <c r="H607" s="80"/>
      <c r="I607" s="80"/>
      <c r="J607" s="80"/>
    </row>
    <row r="608" spans="1:10" ht="12.75">
      <c r="A608" s="80"/>
      <c r="B608" s="80"/>
      <c r="C608" s="80"/>
      <c r="D608" s="80"/>
      <c r="E608" s="80"/>
      <c r="F608" s="80"/>
      <c r="G608" s="80"/>
      <c r="H608" s="80"/>
      <c r="I608" s="80"/>
      <c r="J608" s="80"/>
    </row>
    <row r="609" spans="1:10" ht="12.75">
      <c r="A609" s="80"/>
      <c r="B609" s="80"/>
      <c r="C609" s="80"/>
      <c r="D609" s="80"/>
      <c r="E609" s="80"/>
      <c r="F609" s="80"/>
      <c r="G609" s="80"/>
      <c r="H609" s="80"/>
      <c r="I609" s="80"/>
      <c r="J609" s="80"/>
    </row>
    <row r="610" spans="1:10" ht="12.75">
      <c r="A610" s="80"/>
      <c r="B610" s="80"/>
      <c r="C610" s="80"/>
      <c r="D610" s="80"/>
      <c r="E610" s="80"/>
      <c r="F610" s="80"/>
      <c r="G610" s="80"/>
      <c r="H610" s="80"/>
      <c r="I610" s="80"/>
      <c r="J610" s="80"/>
    </row>
    <row r="611" spans="1:10" ht="12.75">
      <c r="A611" s="80"/>
      <c r="B611" s="80"/>
      <c r="C611" s="80"/>
      <c r="D611" s="80"/>
      <c r="E611" s="80"/>
      <c r="F611" s="80"/>
      <c r="G611" s="80"/>
      <c r="H611" s="80"/>
      <c r="I611" s="80"/>
      <c r="J611" s="80"/>
    </row>
    <row r="612" spans="1:10" ht="12.75">
      <c r="A612" s="80"/>
      <c r="B612" s="80"/>
      <c r="C612" s="80"/>
      <c r="D612" s="80"/>
      <c r="E612" s="80"/>
      <c r="F612" s="80"/>
      <c r="G612" s="80"/>
      <c r="H612" s="80"/>
      <c r="I612" s="80"/>
      <c r="J612" s="80"/>
    </row>
    <row r="613" spans="1:10" ht="12.75">
      <c r="A613" s="80"/>
      <c r="B613" s="80"/>
      <c r="C613" s="80"/>
      <c r="D613" s="80"/>
      <c r="E613" s="80"/>
      <c r="F613" s="80"/>
      <c r="G613" s="80"/>
      <c r="H613" s="80"/>
      <c r="I613" s="80"/>
      <c r="J613" s="80"/>
    </row>
    <row r="614" spans="1:10" ht="12.75">
      <c r="A614" s="80"/>
      <c r="B614" s="80"/>
      <c r="C614" s="80"/>
      <c r="D614" s="80"/>
      <c r="E614" s="80"/>
      <c r="F614" s="80"/>
      <c r="G614" s="80"/>
      <c r="H614" s="80"/>
      <c r="I614" s="80"/>
      <c r="J614" s="80"/>
    </row>
    <row r="615" spans="1:10" ht="12.75">
      <c r="A615" s="80"/>
      <c r="B615" s="80"/>
      <c r="C615" s="80"/>
      <c r="D615" s="80"/>
      <c r="E615" s="80"/>
      <c r="F615" s="80"/>
      <c r="G615" s="80"/>
      <c r="H615" s="80"/>
      <c r="I615" s="80"/>
      <c r="J615" s="80"/>
    </row>
    <row r="616" spans="1:10" ht="12.75">
      <c r="A616" s="80"/>
      <c r="B616" s="80"/>
      <c r="C616" s="80"/>
      <c r="D616" s="80"/>
      <c r="E616" s="80"/>
      <c r="F616" s="80"/>
      <c r="G616" s="80"/>
      <c r="H616" s="80"/>
      <c r="I616" s="80"/>
      <c r="J616" s="80"/>
    </row>
    <row r="617" spans="1:10" ht="12.75">
      <c r="A617" s="80"/>
      <c r="B617" s="80"/>
      <c r="C617" s="80"/>
      <c r="D617" s="80"/>
      <c r="E617" s="80"/>
      <c r="F617" s="80"/>
      <c r="G617" s="80"/>
      <c r="H617" s="80"/>
      <c r="I617" s="80"/>
      <c r="J617" s="80"/>
    </row>
    <row r="618" spans="1:10" ht="12.75">
      <c r="A618" s="80"/>
      <c r="B618" s="80"/>
      <c r="C618" s="80"/>
      <c r="D618" s="80"/>
      <c r="E618" s="80"/>
      <c r="F618" s="80"/>
      <c r="G618" s="80"/>
      <c r="H618" s="80"/>
      <c r="I618" s="80"/>
      <c r="J618" s="80"/>
    </row>
    <row r="619" spans="1:10" ht="12.75">
      <c r="A619" s="80"/>
      <c r="B619" s="80"/>
      <c r="C619" s="80"/>
      <c r="D619" s="80"/>
      <c r="E619" s="80"/>
      <c r="F619" s="80"/>
      <c r="G619" s="80"/>
      <c r="H619" s="80"/>
      <c r="I619" s="80"/>
      <c r="J619" s="80"/>
    </row>
    <row r="620" spans="1:10" ht="12.75">
      <c r="A620" s="80"/>
      <c r="B620" s="80"/>
      <c r="C620" s="80"/>
      <c r="D620" s="80"/>
      <c r="E620" s="80"/>
      <c r="F620" s="80"/>
      <c r="G620" s="80"/>
      <c r="H620" s="80"/>
      <c r="I620" s="80"/>
      <c r="J620" s="80"/>
    </row>
    <row r="621" spans="1:10" ht="12.75">
      <c r="A621" s="80"/>
      <c r="B621" s="80"/>
      <c r="C621" s="80"/>
      <c r="D621" s="80"/>
      <c r="E621" s="80"/>
      <c r="F621" s="80"/>
      <c r="G621" s="80"/>
      <c r="H621" s="80"/>
      <c r="I621" s="80"/>
      <c r="J621" s="80"/>
    </row>
    <row r="622" spans="1:10" ht="12.75">
      <c r="A622" s="80"/>
      <c r="B622" s="80"/>
      <c r="C622" s="80"/>
      <c r="D622" s="80"/>
      <c r="E622" s="80"/>
      <c r="F622" s="80"/>
      <c r="G622" s="80"/>
      <c r="H622" s="80"/>
      <c r="I622" s="80"/>
      <c r="J622" s="80"/>
    </row>
    <row r="623" spans="1:10" ht="12.75">
      <c r="A623" s="80"/>
      <c r="B623" s="80"/>
      <c r="C623" s="80"/>
      <c r="D623" s="80"/>
      <c r="E623" s="80"/>
      <c r="F623" s="80"/>
      <c r="G623" s="80"/>
      <c r="H623" s="80"/>
      <c r="I623" s="80"/>
      <c r="J623" s="80"/>
    </row>
    <row r="624" spans="1:10" ht="12.75">
      <c r="A624" s="80"/>
      <c r="B624" s="80"/>
      <c r="C624" s="80"/>
      <c r="D624" s="80"/>
      <c r="E624" s="80"/>
      <c r="F624" s="80"/>
      <c r="G624" s="80"/>
      <c r="H624" s="80"/>
      <c r="I624" s="80"/>
      <c r="J624" s="80"/>
    </row>
    <row r="625" spans="1:10" ht="12.75">
      <c r="A625" s="80"/>
      <c r="B625" s="80"/>
      <c r="C625" s="80"/>
      <c r="D625" s="80"/>
      <c r="E625" s="80"/>
      <c r="F625" s="80"/>
      <c r="G625" s="80"/>
      <c r="H625" s="80"/>
      <c r="I625" s="80"/>
      <c r="J625" s="80"/>
    </row>
    <row r="626" spans="1:10" ht="12.75">
      <c r="A626" s="80"/>
      <c r="B626" s="80"/>
      <c r="C626" s="80"/>
      <c r="D626" s="80"/>
      <c r="E626" s="80"/>
      <c r="F626" s="80"/>
      <c r="G626" s="80"/>
      <c r="H626" s="80"/>
      <c r="I626" s="80"/>
      <c r="J626" s="80"/>
    </row>
    <row r="627" spans="1:10" ht="12.75">
      <c r="A627" s="80"/>
      <c r="B627" s="80"/>
      <c r="C627" s="80"/>
      <c r="D627" s="80"/>
      <c r="E627" s="80"/>
      <c r="F627" s="80"/>
      <c r="G627" s="80"/>
      <c r="H627" s="80"/>
      <c r="I627" s="80"/>
      <c r="J627" s="80"/>
    </row>
    <row r="628" spans="1:10" ht="12.75">
      <c r="A628" s="80"/>
      <c r="B628" s="80"/>
      <c r="C628" s="80"/>
      <c r="D628" s="80"/>
      <c r="E628" s="80"/>
      <c r="F628" s="80"/>
      <c r="G628" s="80"/>
      <c r="H628" s="80"/>
      <c r="I628" s="80"/>
      <c r="J628" s="80"/>
    </row>
    <row r="629" spans="1:10" ht="12.75">
      <c r="A629" s="80"/>
      <c r="B629" s="80"/>
      <c r="C629" s="80"/>
      <c r="D629" s="80"/>
      <c r="E629" s="80"/>
      <c r="F629" s="80"/>
      <c r="G629" s="80"/>
      <c r="H629" s="80"/>
      <c r="I629" s="80"/>
      <c r="J629" s="80"/>
    </row>
    <row r="630" spans="1:10" ht="12.75">
      <c r="A630" s="80"/>
      <c r="B630" s="80"/>
      <c r="C630" s="80"/>
      <c r="D630" s="80"/>
      <c r="E630" s="80"/>
      <c r="F630" s="80"/>
      <c r="G630" s="80"/>
      <c r="H630" s="80"/>
      <c r="I630" s="80"/>
      <c r="J630" s="80"/>
    </row>
    <row r="631" spans="1:10" ht="12.75">
      <c r="A631" s="80"/>
      <c r="B631" s="80"/>
      <c r="C631" s="80"/>
      <c r="D631" s="80"/>
      <c r="E631" s="80"/>
      <c r="F631" s="80"/>
      <c r="G631" s="80"/>
      <c r="H631" s="80"/>
      <c r="I631" s="80"/>
      <c r="J631" s="80"/>
    </row>
    <row r="632" spans="1:10" ht="12.75">
      <c r="A632" s="80"/>
      <c r="B632" s="80"/>
      <c r="C632" s="80"/>
      <c r="D632" s="80"/>
      <c r="E632" s="80"/>
      <c r="F632" s="80"/>
      <c r="G632" s="80"/>
      <c r="H632" s="80"/>
      <c r="I632" s="80"/>
      <c r="J632" s="80"/>
    </row>
    <row r="633" spans="1:10" ht="12.75">
      <c r="A633" s="80"/>
      <c r="B633" s="80"/>
      <c r="C633" s="80"/>
      <c r="D633" s="80"/>
      <c r="E633" s="80"/>
      <c r="F633" s="80"/>
      <c r="G633" s="80"/>
      <c r="H633" s="80"/>
      <c r="I633" s="80"/>
      <c r="J633" s="80"/>
    </row>
    <row r="634" spans="1:10" ht="12.75">
      <c r="A634" s="80"/>
      <c r="B634" s="80"/>
      <c r="C634" s="80"/>
      <c r="D634" s="80"/>
      <c r="E634" s="80"/>
      <c r="F634" s="80"/>
      <c r="G634" s="80"/>
      <c r="H634" s="80"/>
      <c r="I634" s="80"/>
      <c r="J634" s="80"/>
    </row>
    <row r="635" spans="1:10" ht="12.75">
      <c r="A635" s="80"/>
      <c r="B635" s="80"/>
      <c r="C635" s="80"/>
      <c r="D635" s="80"/>
      <c r="E635" s="80"/>
      <c r="F635" s="80"/>
      <c r="G635" s="80"/>
      <c r="H635" s="80"/>
      <c r="I635" s="80"/>
      <c r="J635" s="80"/>
    </row>
    <row r="636" spans="1:10" ht="12.75">
      <c r="A636" s="80"/>
      <c r="B636" s="80"/>
      <c r="C636" s="80"/>
      <c r="D636" s="80"/>
      <c r="E636" s="80"/>
      <c r="F636" s="80"/>
      <c r="G636" s="80"/>
      <c r="H636" s="80"/>
      <c r="I636" s="80"/>
      <c r="J636" s="80"/>
    </row>
    <row r="637" spans="1:10" ht="12.75">
      <c r="A637" s="80"/>
      <c r="B637" s="80"/>
      <c r="C637" s="80"/>
      <c r="D637" s="80"/>
      <c r="E637" s="80"/>
      <c r="F637" s="80"/>
      <c r="G637" s="80"/>
      <c r="H637" s="80"/>
      <c r="I637" s="80"/>
      <c r="J637" s="80"/>
    </row>
    <row r="638" spans="1:10" ht="12.75">
      <c r="A638" s="80"/>
      <c r="B638" s="80"/>
      <c r="C638" s="80"/>
      <c r="D638" s="80"/>
      <c r="E638" s="80"/>
      <c r="F638" s="80"/>
      <c r="G638" s="80"/>
      <c r="H638" s="80"/>
      <c r="I638" s="80"/>
      <c r="J638" s="80"/>
    </row>
    <row r="639" spans="1:10" ht="12.75">
      <c r="A639" s="80"/>
      <c r="B639" s="80"/>
      <c r="C639" s="80"/>
      <c r="D639" s="80"/>
      <c r="E639" s="80"/>
      <c r="F639" s="80"/>
      <c r="G639" s="80"/>
      <c r="H639" s="80"/>
      <c r="I639" s="80"/>
      <c r="J639" s="80"/>
    </row>
    <row r="640" spans="1:10" ht="12.75">
      <c r="A640" s="80"/>
      <c r="B640" s="80"/>
      <c r="C640" s="80"/>
      <c r="D640" s="80"/>
      <c r="E640" s="80"/>
      <c r="F640" s="80"/>
      <c r="G640" s="80"/>
      <c r="H640" s="80"/>
      <c r="I640" s="80"/>
      <c r="J640" s="80"/>
    </row>
    <row r="641" spans="1:10" ht="12.75">
      <c r="A641" s="80"/>
      <c r="B641" s="80"/>
      <c r="C641" s="80"/>
      <c r="D641" s="80"/>
      <c r="E641" s="80"/>
      <c r="F641" s="80"/>
      <c r="G641" s="80"/>
      <c r="H641" s="80"/>
      <c r="I641" s="80"/>
      <c r="J641" s="80"/>
    </row>
    <row r="642" spans="1:10" ht="12.75">
      <c r="A642" s="80"/>
      <c r="B642" s="80"/>
      <c r="C642" s="80"/>
      <c r="D642" s="80"/>
      <c r="E642" s="80"/>
      <c r="F642" s="80"/>
      <c r="G642" s="80"/>
      <c r="H642" s="80"/>
      <c r="I642" s="80"/>
      <c r="J642" s="80"/>
    </row>
    <row r="643" spans="1:10" ht="12.75">
      <c r="A643" s="80"/>
      <c r="B643" s="80"/>
      <c r="C643" s="80"/>
      <c r="D643" s="80"/>
      <c r="E643" s="80"/>
      <c r="F643" s="80"/>
      <c r="G643" s="80"/>
      <c r="H643" s="80"/>
      <c r="I643" s="80"/>
      <c r="J643" s="80"/>
    </row>
    <row r="644" spans="1:10" ht="12.75">
      <c r="A644" s="80"/>
      <c r="B644" s="80"/>
      <c r="C644" s="80"/>
      <c r="D644" s="80"/>
      <c r="E644" s="80"/>
      <c r="F644" s="80"/>
      <c r="G644" s="80"/>
      <c r="H644" s="80"/>
      <c r="I644" s="80"/>
      <c r="J644" s="80"/>
    </row>
    <row r="645" spans="1:10" ht="12.75">
      <c r="A645" s="80"/>
      <c r="B645" s="80"/>
      <c r="C645" s="80"/>
      <c r="D645" s="80"/>
      <c r="E645" s="80"/>
      <c r="F645" s="80"/>
      <c r="G645" s="80"/>
      <c r="H645" s="80"/>
      <c r="I645" s="80"/>
      <c r="J645" s="80"/>
    </row>
    <row r="646" spans="1:10" ht="12.75">
      <c r="A646" s="80"/>
      <c r="B646" s="80"/>
      <c r="C646" s="80"/>
      <c r="D646" s="80"/>
      <c r="E646" s="80"/>
      <c r="F646" s="80"/>
      <c r="G646" s="80"/>
      <c r="H646" s="80"/>
      <c r="I646" s="80"/>
      <c r="J646" s="80"/>
    </row>
    <row r="647" spans="1:10" ht="12.75">
      <c r="A647" s="80"/>
      <c r="B647" s="80"/>
      <c r="C647" s="80"/>
      <c r="D647" s="80"/>
      <c r="E647" s="80"/>
      <c r="F647" s="80"/>
      <c r="G647" s="80"/>
      <c r="H647" s="80"/>
      <c r="I647" s="80"/>
      <c r="J647" s="80"/>
    </row>
    <row r="648" spans="1:10" ht="12.75">
      <c r="A648" s="80"/>
      <c r="B648" s="80"/>
      <c r="C648" s="80"/>
      <c r="D648" s="80"/>
      <c r="E648" s="80"/>
      <c r="F648" s="80"/>
      <c r="G648" s="80"/>
      <c r="H648" s="80"/>
      <c r="I648" s="80"/>
      <c r="J648" s="80"/>
    </row>
    <row r="649" spans="1:10" ht="12.75">
      <c r="A649" s="80"/>
      <c r="B649" s="80"/>
      <c r="C649" s="80"/>
      <c r="D649" s="80"/>
      <c r="E649" s="80"/>
      <c r="F649" s="80"/>
      <c r="G649" s="80"/>
      <c r="H649" s="80"/>
      <c r="I649" s="80"/>
      <c r="J649" s="80"/>
    </row>
    <row r="650" spans="1:10" ht="12.75">
      <c r="A650" s="80"/>
      <c r="B650" s="80"/>
      <c r="C650" s="80"/>
      <c r="D650" s="80"/>
      <c r="E650" s="80"/>
      <c r="F650" s="80"/>
      <c r="G650" s="80"/>
      <c r="H650" s="80"/>
      <c r="I650" s="80"/>
      <c r="J650" s="80"/>
    </row>
    <row r="651" spans="1:10" ht="12.75">
      <c r="A651" s="80"/>
      <c r="B651" s="80"/>
      <c r="C651" s="80"/>
      <c r="D651" s="80"/>
      <c r="E651" s="80"/>
      <c r="F651" s="80"/>
      <c r="G651" s="80"/>
      <c r="H651" s="80"/>
      <c r="I651" s="80"/>
      <c r="J651" s="80"/>
    </row>
    <row r="652" spans="1:10" ht="12.75">
      <c r="A652" s="80"/>
      <c r="B652" s="80"/>
      <c r="C652" s="80"/>
      <c r="D652" s="80"/>
      <c r="E652" s="80"/>
      <c r="F652" s="80"/>
      <c r="G652" s="80"/>
      <c r="H652" s="80"/>
      <c r="I652" s="80"/>
      <c r="J652" s="80"/>
    </row>
    <row r="653" spans="1:10" ht="12.75">
      <c r="A653" s="80"/>
      <c r="B653" s="80"/>
      <c r="C653" s="80"/>
      <c r="D653" s="80"/>
      <c r="E653" s="80"/>
      <c r="F653" s="80"/>
      <c r="G653" s="80"/>
      <c r="H653" s="80"/>
      <c r="I653" s="80"/>
      <c r="J653" s="80"/>
    </row>
    <row r="654" spans="1:10" ht="12.75">
      <c r="A654" s="80"/>
      <c r="B654" s="80"/>
      <c r="C654" s="80"/>
      <c r="D654" s="80"/>
      <c r="E654" s="80"/>
      <c r="F654" s="80"/>
      <c r="G654" s="80"/>
      <c r="H654" s="80"/>
      <c r="I654" s="80"/>
      <c r="J654" s="80"/>
    </row>
    <row r="655" spans="1:10" ht="12.75">
      <c r="A655" s="80"/>
      <c r="B655" s="80"/>
      <c r="C655" s="80"/>
      <c r="D655" s="80"/>
      <c r="E655" s="80"/>
      <c r="F655" s="80"/>
      <c r="G655" s="80"/>
      <c r="H655" s="80"/>
      <c r="I655" s="80"/>
      <c r="J655" s="80"/>
    </row>
    <row r="656" spans="1:10" ht="12.75">
      <c r="A656" s="80"/>
      <c r="B656" s="80"/>
      <c r="C656" s="80"/>
      <c r="D656" s="80"/>
      <c r="E656" s="80"/>
      <c r="F656" s="80"/>
      <c r="G656" s="80"/>
      <c r="H656" s="80"/>
      <c r="I656" s="80"/>
      <c r="J656" s="80"/>
    </row>
    <row r="657" spans="1:10" ht="12.75">
      <c r="A657" s="80"/>
      <c r="B657" s="80"/>
      <c r="C657" s="80"/>
      <c r="D657" s="80"/>
      <c r="E657" s="80"/>
      <c r="F657" s="80"/>
      <c r="G657" s="80"/>
      <c r="H657" s="80"/>
      <c r="I657" s="80"/>
      <c r="J657" s="80"/>
    </row>
    <row r="658" spans="1:10" ht="12.75">
      <c r="A658" s="80"/>
      <c r="B658" s="80"/>
      <c r="C658" s="80"/>
      <c r="D658" s="80"/>
      <c r="E658" s="80"/>
      <c r="F658" s="80"/>
      <c r="G658" s="80"/>
      <c r="H658" s="80"/>
      <c r="I658" s="80"/>
      <c r="J658" s="80"/>
    </row>
    <row r="659" spans="1:10" ht="12.75">
      <c r="A659" s="80"/>
      <c r="B659" s="80"/>
      <c r="C659" s="80"/>
      <c r="D659" s="80"/>
      <c r="E659" s="80"/>
      <c r="F659" s="80"/>
      <c r="G659" s="80"/>
      <c r="H659" s="80"/>
      <c r="I659" s="80"/>
      <c r="J659" s="80"/>
    </row>
    <row r="660" spans="1:10" ht="12.75">
      <c r="A660" s="80"/>
      <c r="B660" s="80"/>
      <c r="C660" s="80"/>
      <c r="D660" s="80"/>
      <c r="E660" s="80"/>
      <c r="F660" s="80"/>
      <c r="G660" s="80"/>
      <c r="H660" s="80"/>
      <c r="I660" s="80"/>
      <c r="J660" s="80"/>
    </row>
    <row r="661" spans="1:10" ht="12.75">
      <c r="A661" s="80"/>
      <c r="B661" s="80"/>
      <c r="C661" s="80"/>
      <c r="D661" s="80"/>
      <c r="E661" s="80"/>
      <c r="F661" s="80"/>
      <c r="G661" s="80"/>
      <c r="H661" s="80"/>
      <c r="I661" s="80"/>
      <c r="J661" s="80"/>
    </row>
    <row r="662" spans="1:10" ht="12.75">
      <c r="A662" s="80"/>
      <c r="B662" s="80"/>
      <c r="C662" s="80"/>
      <c r="D662" s="80"/>
      <c r="E662" s="80"/>
      <c r="F662" s="80"/>
      <c r="G662" s="80"/>
      <c r="H662" s="80"/>
      <c r="I662" s="80"/>
      <c r="J662" s="80"/>
    </row>
    <row r="663" spans="1:10" ht="12.75">
      <c r="A663" s="80"/>
      <c r="B663" s="80"/>
      <c r="C663" s="80"/>
      <c r="D663" s="80"/>
      <c r="E663" s="80"/>
      <c r="F663" s="80"/>
      <c r="G663" s="80"/>
      <c r="H663" s="80"/>
      <c r="I663" s="80"/>
      <c r="J663" s="80"/>
    </row>
    <row r="664" spans="1:10" ht="12.75">
      <c r="A664" s="80"/>
      <c r="B664" s="80"/>
      <c r="C664" s="80"/>
      <c r="D664" s="80"/>
      <c r="E664" s="80"/>
      <c r="F664" s="80"/>
      <c r="G664" s="80"/>
      <c r="H664" s="80"/>
      <c r="I664" s="80"/>
      <c r="J664" s="80"/>
    </row>
    <row r="665" spans="1:10" ht="12.75">
      <c r="A665" s="80"/>
      <c r="B665" s="80"/>
      <c r="C665" s="80"/>
      <c r="D665" s="80"/>
      <c r="E665" s="80"/>
      <c r="F665" s="80"/>
      <c r="G665" s="80"/>
      <c r="H665" s="80"/>
      <c r="I665" s="80"/>
      <c r="J665" s="80"/>
    </row>
    <row r="666" spans="1:10" ht="12.75">
      <c r="A666" s="80"/>
      <c r="B666" s="80"/>
      <c r="C666" s="80"/>
      <c r="D666" s="80"/>
      <c r="E666" s="80"/>
      <c r="F666" s="80"/>
      <c r="G666" s="80"/>
      <c r="H666" s="80"/>
      <c r="I666" s="80"/>
      <c r="J666" s="80"/>
    </row>
    <row r="667" spans="1:10" ht="12.75">
      <c r="A667" s="80"/>
      <c r="B667" s="80"/>
      <c r="C667" s="80"/>
      <c r="D667" s="80"/>
      <c r="E667" s="80"/>
      <c r="F667" s="80"/>
      <c r="G667" s="80"/>
      <c r="H667" s="80"/>
      <c r="I667" s="80"/>
      <c r="J667" s="80"/>
    </row>
    <row r="668" spans="1:10" ht="12.75">
      <c r="A668" s="80"/>
      <c r="B668" s="80"/>
      <c r="C668" s="80"/>
      <c r="D668" s="80"/>
      <c r="E668" s="80"/>
      <c r="F668" s="80"/>
      <c r="G668" s="80"/>
      <c r="H668" s="80"/>
      <c r="I668" s="80"/>
      <c r="J668" s="80"/>
    </row>
    <row r="669" spans="1:10" ht="12.75">
      <c r="A669" s="80"/>
      <c r="B669" s="80"/>
      <c r="C669" s="80"/>
      <c r="D669" s="80"/>
      <c r="E669" s="80"/>
      <c r="F669" s="80"/>
      <c r="G669" s="80"/>
      <c r="H669" s="80"/>
      <c r="I669" s="80"/>
      <c r="J669" s="80"/>
    </row>
    <row r="670" spans="1:10" ht="12.75">
      <c r="A670" s="80"/>
      <c r="B670" s="80"/>
      <c r="C670" s="80"/>
      <c r="D670" s="80"/>
      <c r="E670" s="80"/>
      <c r="F670" s="80"/>
      <c r="G670" s="80"/>
      <c r="H670" s="80"/>
      <c r="I670" s="80"/>
      <c r="J670" s="80"/>
    </row>
    <row r="671" spans="1:10" ht="12.75">
      <c r="A671" s="80"/>
      <c r="B671" s="80"/>
      <c r="C671" s="80"/>
      <c r="D671" s="80"/>
      <c r="E671" s="80"/>
      <c r="F671" s="80"/>
      <c r="G671" s="80"/>
      <c r="H671" s="80"/>
      <c r="I671" s="80"/>
      <c r="J671" s="80"/>
    </row>
    <row r="672" spans="1:10" ht="12.75">
      <c r="A672" s="80"/>
      <c r="B672" s="80"/>
      <c r="C672" s="80"/>
      <c r="D672" s="80"/>
      <c r="E672" s="80"/>
      <c r="F672" s="80"/>
      <c r="G672" s="80"/>
      <c r="H672" s="80"/>
      <c r="I672" s="80"/>
      <c r="J672" s="80"/>
    </row>
    <row r="673" spans="1:10" ht="12.75">
      <c r="A673" s="80"/>
      <c r="B673" s="80"/>
      <c r="C673" s="80"/>
      <c r="D673" s="80"/>
      <c r="E673" s="80"/>
      <c r="F673" s="80"/>
      <c r="G673" s="80"/>
      <c r="H673" s="80"/>
      <c r="I673" s="80"/>
      <c r="J673" s="80"/>
    </row>
    <row r="674" spans="1:10" ht="12.75">
      <c r="A674" s="80"/>
      <c r="B674" s="80"/>
      <c r="C674" s="80"/>
      <c r="D674" s="80"/>
      <c r="E674" s="80"/>
      <c r="F674" s="80"/>
      <c r="G674" s="80"/>
      <c r="H674" s="80"/>
      <c r="I674" s="80"/>
      <c r="J674" s="80"/>
    </row>
    <row r="675" spans="1:10" ht="12.75">
      <c r="A675" s="80"/>
      <c r="B675" s="80"/>
      <c r="C675" s="80"/>
      <c r="D675" s="80"/>
      <c r="E675" s="80"/>
      <c r="F675" s="80"/>
      <c r="G675" s="80"/>
      <c r="H675" s="80"/>
      <c r="I675" s="80"/>
      <c r="J675" s="80"/>
    </row>
    <row r="676" spans="1:10" ht="12.75">
      <c r="A676" s="80"/>
      <c r="B676" s="80"/>
      <c r="C676" s="80"/>
      <c r="D676" s="80"/>
      <c r="E676" s="80"/>
      <c r="F676" s="80"/>
      <c r="G676" s="80"/>
      <c r="H676" s="80"/>
      <c r="I676" s="80"/>
      <c r="J676" s="80"/>
    </row>
    <row r="677" spans="1:10" ht="12.75">
      <c r="A677" s="80"/>
      <c r="B677" s="80"/>
      <c r="C677" s="80"/>
      <c r="D677" s="80"/>
      <c r="E677" s="80"/>
      <c r="F677" s="80"/>
      <c r="G677" s="80"/>
      <c r="H677" s="80"/>
      <c r="I677" s="80"/>
      <c r="J677" s="80"/>
    </row>
    <row r="678" spans="1:10" ht="12.75">
      <c r="A678" s="80"/>
      <c r="B678" s="80"/>
      <c r="C678" s="80"/>
      <c r="D678" s="80"/>
      <c r="E678" s="80"/>
      <c r="F678" s="80"/>
      <c r="G678" s="80"/>
      <c r="H678" s="80"/>
      <c r="I678" s="80"/>
      <c r="J678" s="80"/>
    </row>
    <row r="679" spans="1:10" ht="12.75">
      <c r="A679" s="80"/>
      <c r="B679" s="80"/>
      <c r="C679" s="80"/>
      <c r="D679" s="80"/>
      <c r="E679" s="80"/>
      <c r="F679" s="80"/>
      <c r="G679" s="80"/>
      <c r="H679" s="80"/>
      <c r="I679" s="80"/>
      <c r="J679" s="80"/>
    </row>
    <row r="680" spans="1:10" ht="12.75">
      <c r="A680" s="80"/>
      <c r="B680" s="80"/>
      <c r="C680" s="80"/>
      <c r="D680" s="80"/>
      <c r="E680" s="80"/>
      <c r="F680" s="80"/>
      <c r="G680" s="80"/>
      <c r="H680" s="80"/>
      <c r="I680" s="80"/>
      <c r="J680" s="80"/>
    </row>
    <row r="681" spans="1:10" ht="12.75">
      <c r="A681" s="80"/>
      <c r="B681" s="80"/>
      <c r="C681" s="80"/>
      <c r="D681" s="80"/>
      <c r="E681" s="80"/>
      <c r="F681" s="80"/>
      <c r="G681" s="80"/>
      <c r="H681" s="80"/>
      <c r="I681" s="80"/>
      <c r="J681" s="80"/>
    </row>
    <row r="682" spans="1:10" ht="12.75">
      <c r="A682" s="80"/>
      <c r="B682" s="80"/>
      <c r="C682" s="80"/>
      <c r="D682" s="80"/>
      <c r="E682" s="80"/>
      <c r="F682" s="80"/>
      <c r="G682" s="80"/>
      <c r="H682" s="80"/>
      <c r="I682" s="80"/>
      <c r="J682" s="80"/>
    </row>
    <row r="683" spans="1:10" ht="12.75">
      <c r="A683" s="80"/>
      <c r="B683" s="80"/>
      <c r="C683" s="80"/>
      <c r="D683" s="80"/>
      <c r="E683" s="80"/>
      <c r="F683" s="80"/>
      <c r="G683" s="80"/>
      <c r="H683" s="80"/>
      <c r="I683" s="80"/>
      <c r="J683" s="80"/>
    </row>
    <row r="684" spans="1:10" ht="12.75">
      <c r="A684" s="80"/>
      <c r="B684" s="80"/>
      <c r="C684" s="80"/>
      <c r="D684" s="80"/>
      <c r="E684" s="80"/>
      <c r="F684" s="80"/>
      <c r="G684" s="80"/>
      <c r="H684" s="80"/>
      <c r="I684" s="80"/>
      <c r="J684" s="80"/>
    </row>
    <row r="685" spans="1:10" ht="12.75">
      <c r="A685" s="80"/>
      <c r="B685" s="80"/>
      <c r="C685" s="80"/>
      <c r="D685" s="80"/>
      <c r="E685" s="80"/>
      <c r="F685" s="80"/>
      <c r="G685" s="80"/>
      <c r="H685" s="80"/>
      <c r="I685" s="80"/>
      <c r="J685" s="80"/>
    </row>
    <row r="686" spans="1:10" ht="12.75">
      <c r="A686" s="80"/>
      <c r="B686" s="80"/>
      <c r="C686" s="80"/>
      <c r="D686" s="80"/>
      <c r="E686" s="80"/>
      <c r="F686" s="80"/>
      <c r="G686" s="80"/>
      <c r="H686" s="80"/>
      <c r="I686" s="80"/>
      <c r="J686" s="80"/>
    </row>
    <row r="687" spans="1:10" ht="12.75">
      <c r="A687" s="80"/>
      <c r="B687" s="80"/>
      <c r="C687" s="80"/>
      <c r="D687" s="80"/>
      <c r="E687" s="80"/>
      <c r="F687" s="80"/>
      <c r="G687" s="80"/>
      <c r="H687" s="80"/>
      <c r="I687" s="80"/>
      <c r="J687" s="80"/>
    </row>
    <row r="688" spans="1:10" ht="12.75">
      <c r="A688" s="80"/>
      <c r="B688" s="80"/>
      <c r="C688" s="80"/>
      <c r="D688" s="80"/>
      <c r="E688" s="80"/>
      <c r="F688" s="80"/>
      <c r="G688" s="80"/>
      <c r="H688" s="80"/>
      <c r="I688" s="80"/>
      <c r="J688" s="80"/>
    </row>
    <row r="689" spans="1:10" ht="12.75">
      <c r="A689" s="80"/>
      <c r="B689" s="80"/>
      <c r="C689" s="80"/>
      <c r="D689" s="80"/>
      <c r="E689" s="80"/>
      <c r="F689" s="80"/>
      <c r="G689" s="80"/>
      <c r="H689" s="80"/>
      <c r="I689" s="80"/>
      <c r="J689" s="80"/>
    </row>
    <row r="690" spans="1:10" ht="12.75">
      <c r="A690" s="80"/>
      <c r="B690" s="80"/>
      <c r="C690" s="80"/>
      <c r="D690" s="80"/>
      <c r="E690" s="80"/>
      <c r="F690" s="80"/>
      <c r="G690" s="80"/>
      <c r="H690" s="80"/>
      <c r="I690" s="80"/>
      <c r="J690" s="80"/>
    </row>
    <row r="691" spans="1:10" ht="12.75">
      <c r="A691" s="80"/>
      <c r="B691" s="80"/>
      <c r="C691" s="80"/>
      <c r="D691" s="80"/>
      <c r="E691" s="80"/>
      <c r="F691" s="80"/>
      <c r="G691" s="80"/>
      <c r="H691" s="80"/>
      <c r="I691" s="80"/>
      <c r="J691" s="80"/>
    </row>
    <row r="692" spans="1:10" ht="12.75">
      <c r="A692" s="80"/>
      <c r="B692" s="80"/>
      <c r="C692" s="80"/>
      <c r="D692" s="80"/>
      <c r="E692" s="80"/>
      <c r="F692" s="80"/>
      <c r="G692" s="80"/>
      <c r="H692" s="80"/>
      <c r="I692" s="80"/>
      <c r="J692" s="80"/>
    </row>
    <row r="693" spans="1:10" ht="12.75">
      <c r="A693" s="80"/>
      <c r="B693" s="80"/>
      <c r="C693" s="80"/>
      <c r="D693" s="80"/>
      <c r="E693" s="80"/>
      <c r="F693" s="80"/>
      <c r="G693" s="80"/>
      <c r="H693" s="80"/>
      <c r="I693" s="80"/>
      <c r="J693" s="80"/>
    </row>
    <row r="694" spans="1:10" ht="12.75">
      <c r="A694" s="80"/>
      <c r="B694" s="80"/>
      <c r="C694" s="80"/>
      <c r="D694" s="80"/>
      <c r="E694" s="80"/>
      <c r="F694" s="80"/>
      <c r="G694" s="80"/>
      <c r="H694" s="80"/>
      <c r="I694" s="80"/>
      <c r="J694" s="80"/>
    </row>
    <row r="695" spans="1:10" ht="12.75">
      <c r="A695" s="80"/>
      <c r="B695" s="80"/>
      <c r="C695" s="80"/>
      <c r="D695" s="80"/>
      <c r="E695" s="80"/>
      <c r="F695" s="80"/>
      <c r="G695" s="80"/>
      <c r="H695" s="80"/>
      <c r="I695" s="80"/>
      <c r="J695" s="80"/>
    </row>
    <row r="696" spans="1:10" ht="12.75">
      <c r="A696" s="80"/>
      <c r="B696" s="80"/>
      <c r="C696" s="80"/>
      <c r="D696" s="80"/>
      <c r="E696" s="80"/>
      <c r="F696" s="80"/>
      <c r="G696" s="80"/>
      <c r="H696" s="80"/>
      <c r="I696" s="80"/>
      <c r="J696" s="80"/>
    </row>
    <row r="697" spans="1:10" ht="12.75">
      <c r="A697" s="80"/>
      <c r="B697" s="80"/>
      <c r="C697" s="80"/>
      <c r="D697" s="80"/>
      <c r="E697" s="80"/>
      <c r="F697" s="80"/>
      <c r="G697" s="80"/>
      <c r="H697" s="80"/>
      <c r="I697" s="80"/>
      <c r="J697" s="80"/>
    </row>
    <row r="698" spans="1:10" ht="12.75">
      <c r="A698" s="80"/>
      <c r="B698" s="80"/>
      <c r="C698" s="80"/>
      <c r="D698" s="80"/>
      <c r="E698" s="80"/>
      <c r="F698" s="80"/>
      <c r="G698" s="80"/>
      <c r="H698" s="80"/>
      <c r="I698" s="80"/>
      <c r="J698" s="80"/>
    </row>
    <row r="699" spans="1:10" ht="12.75">
      <c r="A699" s="80"/>
      <c r="B699" s="80"/>
      <c r="C699" s="80"/>
      <c r="D699" s="80"/>
      <c r="E699" s="80"/>
      <c r="F699" s="80"/>
      <c r="G699" s="80"/>
      <c r="H699" s="80"/>
      <c r="I699" s="80"/>
      <c r="J699" s="80"/>
    </row>
    <row r="700" spans="1:10" ht="12.75">
      <c r="A700" s="80"/>
      <c r="B700" s="80"/>
      <c r="C700" s="80"/>
      <c r="D700" s="80"/>
      <c r="E700" s="80"/>
      <c r="F700" s="80"/>
      <c r="G700" s="80"/>
      <c r="H700" s="80"/>
      <c r="I700" s="80"/>
      <c r="J700" s="80"/>
    </row>
    <row r="701" spans="1:10" ht="12.75">
      <c r="A701" s="80"/>
      <c r="B701" s="80"/>
      <c r="C701" s="80"/>
      <c r="D701" s="80"/>
      <c r="E701" s="80"/>
      <c r="F701" s="80"/>
      <c r="G701" s="80"/>
      <c r="H701" s="80"/>
      <c r="I701" s="80"/>
      <c r="J701" s="80"/>
    </row>
    <row r="702" spans="1:10" ht="12.75">
      <c r="A702" s="80"/>
      <c r="B702" s="80"/>
      <c r="C702" s="80"/>
      <c r="D702" s="80"/>
      <c r="E702" s="80"/>
      <c r="F702" s="80"/>
      <c r="G702" s="80"/>
      <c r="H702" s="80"/>
      <c r="I702" s="80"/>
      <c r="J702" s="80"/>
    </row>
    <row r="703" spans="1:10" ht="12.75">
      <c r="A703" s="80"/>
      <c r="B703" s="80"/>
      <c r="C703" s="80"/>
      <c r="D703" s="80"/>
      <c r="E703" s="80"/>
      <c r="F703" s="80"/>
      <c r="G703" s="80"/>
      <c r="H703" s="80"/>
      <c r="I703" s="80"/>
      <c r="J703" s="80"/>
    </row>
    <row r="704" spans="1:10" ht="12.75">
      <c r="A704" s="80"/>
      <c r="B704" s="80"/>
      <c r="C704" s="80"/>
      <c r="D704" s="80"/>
      <c r="E704" s="80"/>
      <c r="F704" s="80"/>
      <c r="G704" s="80"/>
      <c r="H704" s="80"/>
      <c r="I704" s="80"/>
      <c r="J704" s="80"/>
    </row>
    <row r="705" spans="1:10" ht="12.75">
      <c r="A705" s="80"/>
      <c r="B705" s="80"/>
      <c r="C705" s="80"/>
      <c r="D705" s="80"/>
      <c r="E705" s="80"/>
      <c r="F705" s="80"/>
      <c r="G705" s="80"/>
      <c r="H705" s="80"/>
      <c r="I705" s="80"/>
      <c r="J705" s="80"/>
    </row>
    <row r="706" spans="1:10" ht="12.75">
      <c r="A706" s="80"/>
      <c r="B706" s="80"/>
      <c r="C706" s="80"/>
      <c r="D706" s="80"/>
      <c r="E706" s="80"/>
      <c r="F706" s="80"/>
      <c r="G706" s="80"/>
      <c r="H706" s="80"/>
      <c r="I706" s="80"/>
      <c r="J706" s="80"/>
    </row>
    <row r="707" spans="1:10" ht="12.75">
      <c r="A707" s="80"/>
      <c r="B707" s="80"/>
      <c r="C707" s="80"/>
      <c r="D707" s="80"/>
      <c r="E707" s="80"/>
      <c r="F707" s="80"/>
      <c r="G707" s="80"/>
      <c r="H707" s="80"/>
      <c r="I707" s="80"/>
      <c r="J707" s="80"/>
    </row>
    <row r="708" spans="1:10" ht="12.75">
      <c r="A708" s="80"/>
      <c r="B708" s="80"/>
      <c r="C708" s="80"/>
      <c r="D708" s="80"/>
      <c r="E708" s="80"/>
      <c r="F708" s="80"/>
      <c r="G708" s="80"/>
      <c r="H708" s="80"/>
      <c r="I708" s="80"/>
      <c r="J708" s="80"/>
    </row>
    <row r="709" spans="1:10" ht="12.75">
      <c r="A709" s="80"/>
      <c r="B709" s="80"/>
      <c r="C709" s="80"/>
      <c r="D709" s="80"/>
      <c r="E709" s="80"/>
      <c r="F709" s="80"/>
      <c r="G709" s="80"/>
      <c r="H709" s="80"/>
      <c r="I709" s="80"/>
      <c r="J709" s="80"/>
    </row>
    <row r="710" spans="1:10" ht="12.75">
      <c r="A710" s="80"/>
      <c r="B710" s="80"/>
      <c r="C710" s="80"/>
      <c r="D710" s="80"/>
      <c r="E710" s="80"/>
      <c r="F710" s="80"/>
      <c r="G710" s="80"/>
      <c r="H710" s="80"/>
      <c r="I710" s="80"/>
      <c r="J710" s="80"/>
    </row>
    <row r="711" spans="1:10" ht="12.75">
      <c r="A711" s="80"/>
      <c r="B711" s="80"/>
      <c r="C711" s="80"/>
      <c r="D711" s="80"/>
      <c r="E711" s="80"/>
      <c r="F711" s="80"/>
      <c r="G711" s="80"/>
      <c r="H711" s="80"/>
      <c r="I711" s="80"/>
      <c r="J711" s="80"/>
    </row>
    <row r="712" spans="1:10" ht="12.75">
      <c r="A712" s="80"/>
      <c r="B712" s="80"/>
      <c r="C712" s="80"/>
      <c r="D712" s="80"/>
      <c r="E712" s="80"/>
      <c r="F712" s="80"/>
      <c r="G712" s="80"/>
      <c r="H712" s="80"/>
      <c r="I712" s="80"/>
      <c r="J712" s="80"/>
    </row>
    <row r="713" spans="1:10" ht="12.75">
      <c r="A713" s="80"/>
      <c r="B713" s="80"/>
      <c r="C713" s="80"/>
      <c r="D713" s="80"/>
      <c r="E713" s="80"/>
      <c r="F713" s="80"/>
      <c r="G713" s="80"/>
      <c r="H713" s="80"/>
      <c r="I713" s="80"/>
      <c r="J713" s="80"/>
    </row>
    <row r="714" spans="1:10" ht="12.75">
      <c r="A714" s="80"/>
      <c r="B714" s="80"/>
      <c r="C714" s="80"/>
      <c r="D714" s="80"/>
      <c r="E714" s="80"/>
      <c r="F714" s="80"/>
      <c r="G714" s="80"/>
      <c r="H714" s="80"/>
      <c r="I714" s="80"/>
      <c r="J714" s="80"/>
    </row>
    <row r="715" spans="1:10" ht="12.75">
      <c r="A715" s="80"/>
      <c r="B715" s="80"/>
      <c r="C715" s="80"/>
      <c r="D715" s="80"/>
      <c r="E715" s="80"/>
      <c r="F715" s="80"/>
      <c r="G715" s="80"/>
      <c r="H715" s="80"/>
      <c r="I715" s="80"/>
      <c r="J715" s="80"/>
    </row>
    <row r="716" spans="1:10" ht="12.75">
      <c r="A716" s="80"/>
      <c r="B716" s="80"/>
      <c r="C716" s="80"/>
      <c r="D716" s="80"/>
      <c r="E716" s="80"/>
      <c r="F716" s="80"/>
      <c r="G716" s="80"/>
      <c r="H716" s="80"/>
      <c r="I716" s="80"/>
      <c r="J716" s="80"/>
    </row>
    <row r="717" spans="1:10" ht="12.75">
      <c r="A717" s="80"/>
      <c r="B717" s="80"/>
      <c r="C717" s="80"/>
      <c r="D717" s="80"/>
      <c r="E717" s="80"/>
      <c r="F717" s="80"/>
      <c r="G717" s="80"/>
      <c r="H717" s="80"/>
      <c r="I717" s="80"/>
      <c r="J717" s="80"/>
    </row>
    <row r="718" spans="1:10" ht="12.75">
      <c r="A718" s="80"/>
      <c r="B718" s="80"/>
      <c r="C718" s="80"/>
      <c r="D718" s="80"/>
      <c r="E718" s="80"/>
      <c r="F718" s="80"/>
      <c r="G718" s="80"/>
      <c r="H718" s="80"/>
      <c r="I718" s="80"/>
      <c r="J718" s="80"/>
    </row>
    <row r="719" spans="1:10" ht="12.75">
      <c r="A719" s="80"/>
      <c r="B719" s="80"/>
      <c r="C719" s="80"/>
      <c r="D719" s="80"/>
      <c r="E719" s="80"/>
      <c r="F719" s="80"/>
      <c r="G719" s="80"/>
      <c r="H719" s="80"/>
      <c r="I719" s="80"/>
      <c r="J719" s="80"/>
    </row>
    <row r="720" spans="1:10" ht="12.75">
      <c r="A720" s="80"/>
      <c r="B720" s="80"/>
      <c r="C720" s="80"/>
      <c r="D720" s="80"/>
      <c r="E720" s="80"/>
      <c r="F720" s="80"/>
      <c r="G720" s="80"/>
      <c r="H720" s="80"/>
      <c r="I720" s="80"/>
      <c r="J720" s="80"/>
    </row>
    <row r="721" spans="1:10" ht="12.75">
      <c r="A721" s="80"/>
      <c r="B721" s="80"/>
      <c r="C721" s="80"/>
      <c r="D721" s="80"/>
      <c r="E721" s="80"/>
      <c r="F721" s="80"/>
      <c r="G721" s="80"/>
      <c r="H721" s="80"/>
      <c r="I721" s="80"/>
      <c r="J721" s="80"/>
    </row>
    <row r="722" spans="1:10" ht="12.75">
      <c r="A722" s="80"/>
      <c r="B722" s="80"/>
      <c r="C722" s="80"/>
      <c r="D722" s="80"/>
      <c r="E722" s="80"/>
      <c r="F722" s="80"/>
      <c r="G722" s="80"/>
      <c r="H722" s="80"/>
      <c r="I722" s="80"/>
      <c r="J722" s="80"/>
    </row>
    <row r="723" spans="1:10" ht="12.75">
      <c r="A723" s="80"/>
      <c r="B723" s="80"/>
      <c r="C723" s="80"/>
      <c r="D723" s="80"/>
      <c r="E723" s="80"/>
      <c r="F723" s="80"/>
      <c r="G723" s="80"/>
      <c r="H723" s="80"/>
      <c r="I723" s="80"/>
      <c r="J723" s="80"/>
    </row>
    <row r="724" spans="1:10" ht="12.75">
      <c r="A724" s="80"/>
      <c r="B724" s="80"/>
      <c r="C724" s="80"/>
      <c r="D724" s="80"/>
      <c r="E724" s="80"/>
      <c r="F724" s="80"/>
      <c r="G724" s="80"/>
      <c r="H724" s="80"/>
      <c r="I724" s="80"/>
      <c r="J724" s="80"/>
    </row>
    <row r="725" spans="1:10" ht="12.75">
      <c r="A725" s="80"/>
      <c r="B725" s="80"/>
      <c r="C725" s="80"/>
      <c r="D725" s="80"/>
      <c r="E725" s="80"/>
      <c r="F725" s="80"/>
      <c r="G725" s="80"/>
      <c r="H725" s="80"/>
      <c r="I725" s="80"/>
      <c r="J725" s="80"/>
    </row>
    <row r="726" spans="1:10" ht="12.75">
      <c r="A726" s="80"/>
      <c r="B726" s="80"/>
      <c r="C726" s="80"/>
      <c r="D726" s="80"/>
      <c r="E726" s="80"/>
      <c r="F726" s="80"/>
      <c r="G726" s="80"/>
      <c r="H726" s="80"/>
      <c r="I726" s="80"/>
      <c r="J726" s="80"/>
    </row>
    <row r="727" spans="1:10" ht="12.75">
      <c r="A727" s="80"/>
      <c r="B727" s="80"/>
      <c r="C727" s="80"/>
      <c r="D727" s="80"/>
      <c r="E727" s="80"/>
      <c r="F727" s="80"/>
      <c r="G727" s="80"/>
      <c r="H727" s="80"/>
      <c r="I727" s="80"/>
      <c r="J727" s="80"/>
    </row>
    <row r="728" spans="1:10" ht="12.75">
      <c r="A728" s="80"/>
      <c r="B728" s="80"/>
      <c r="C728" s="80"/>
      <c r="D728" s="80"/>
      <c r="E728" s="80"/>
      <c r="F728" s="80"/>
      <c r="G728" s="80"/>
      <c r="H728" s="80"/>
      <c r="I728" s="80"/>
      <c r="J728" s="80"/>
    </row>
    <row r="729" spans="1:10" ht="12.75">
      <c r="A729" s="80"/>
      <c r="B729" s="80"/>
      <c r="C729" s="80"/>
      <c r="D729" s="80"/>
      <c r="E729" s="80"/>
      <c r="F729" s="80"/>
      <c r="G729" s="80"/>
      <c r="H729" s="80"/>
      <c r="I729" s="80"/>
      <c r="J729" s="80"/>
    </row>
    <row r="730" spans="1:10" ht="12.75">
      <c r="A730" s="80"/>
      <c r="B730" s="80"/>
      <c r="C730" s="80"/>
      <c r="D730" s="80"/>
      <c r="E730" s="80"/>
      <c r="F730" s="80"/>
      <c r="G730" s="80"/>
      <c r="H730" s="80"/>
      <c r="I730" s="80"/>
      <c r="J730" s="80"/>
    </row>
    <row r="731" spans="1:10" ht="12.75">
      <c r="A731" s="80"/>
      <c r="B731" s="80"/>
      <c r="C731" s="80"/>
      <c r="D731" s="80"/>
      <c r="E731" s="80"/>
      <c r="F731" s="80"/>
      <c r="G731" s="80"/>
      <c r="H731" s="80"/>
      <c r="I731" s="80"/>
      <c r="J731" s="80"/>
    </row>
    <row r="732" spans="1:10" ht="12.75">
      <c r="A732" s="80"/>
      <c r="B732" s="80"/>
      <c r="C732" s="80"/>
      <c r="D732" s="80"/>
      <c r="E732" s="80"/>
      <c r="F732" s="80"/>
      <c r="G732" s="80"/>
      <c r="H732" s="80"/>
      <c r="I732" s="80"/>
      <c r="J732" s="80"/>
    </row>
    <row r="733" spans="1:10" ht="12.75">
      <c r="A733" s="80"/>
      <c r="B733" s="80"/>
      <c r="C733" s="80"/>
      <c r="D733" s="80"/>
      <c r="E733" s="80"/>
      <c r="F733" s="80"/>
      <c r="G733" s="80"/>
      <c r="H733" s="80"/>
      <c r="I733" s="80"/>
      <c r="J733" s="80"/>
    </row>
    <row r="734" spans="1:10" ht="12.75">
      <c r="A734" s="80"/>
      <c r="B734" s="80"/>
      <c r="C734" s="80"/>
      <c r="D734" s="80"/>
      <c r="E734" s="80"/>
      <c r="F734" s="80"/>
      <c r="G734" s="80"/>
      <c r="H734" s="80"/>
      <c r="I734" s="80"/>
      <c r="J734" s="80"/>
    </row>
    <row r="735" spans="1:10" ht="12.75">
      <c r="A735" s="80"/>
      <c r="B735" s="80"/>
      <c r="C735" s="80"/>
      <c r="D735" s="80"/>
      <c r="E735" s="80"/>
      <c r="F735" s="80"/>
      <c r="G735" s="80"/>
      <c r="H735" s="80"/>
      <c r="I735" s="80"/>
      <c r="J735" s="80"/>
    </row>
    <row r="736" spans="1:10" ht="12.75">
      <c r="A736" s="80"/>
      <c r="B736" s="80"/>
      <c r="C736" s="80"/>
      <c r="D736" s="80"/>
      <c r="E736" s="80"/>
      <c r="F736" s="80"/>
      <c r="G736" s="80"/>
      <c r="H736" s="80"/>
      <c r="I736" s="80"/>
      <c r="J736" s="80"/>
    </row>
    <row r="737" spans="1:10" ht="12.75">
      <c r="A737" s="80"/>
      <c r="B737" s="80"/>
      <c r="C737" s="80"/>
      <c r="D737" s="80"/>
      <c r="E737" s="80"/>
      <c r="F737" s="80"/>
      <c r="G737" s="80"/>
      <c r="H737" s="80"/>
      <c r="I737" s="80"/>
      <c r="J737" s="80"/>
    </row>
    <row r="738" spans="1:10" ht="12.75">
      <c r="A738" s="80"/>
      <c r="B738" s="80"/>
      <c r="C738" s="80"/>
      <c r="D738" s="80"/>
      <c r="E738" s="80"/>
      <c r="F738" s="80"/>
      <c r="G738" s="80"/>
      <c r="H738" s="80"/>
      <c r="I738" s="80"/>
      <c r="J738" s="80"/>
    </row>
    <row r="739" spans="1:10" ht="12.75">
      <c r="A739" s="80"/>
      <c r="B739" s="80"/>
      <c r="C739" s="80"/>
      <c r="D739" s="80"/>
      <c r="E739" s="80"/>
      <c r="F739" s="80"/>
      <c r="G739" s="80"/>
      <c r="H739" s="80"/>
      <c r="I739" s="80"/>
      <c r="J739" s="80"/>
    </row>
    <row r="740" spans="1:10" ht="12.75">
      <c r="A740" s="80"/>
      <c r="B740" s="80"/>
      <c r="C740" s="80"/>
      <c r="D740" s="80"/>
      <c r="E740" s="80"/>
      <c r="F740" s="80"/>
      <c r="G740" s="80"/>
      <c r="H740" s="80"/>
      <c r="I740" s="80"/>
      <c r="J740" s="80"/>
    </row>
    <row r="741" spans="1:10" ht="12.75">
      <c r="A741" s="80"/>
      <c r="B741" s="80"/>
      <c r="C741" s="80"/>
      <c r="D741" s="80"/>
      <c r="E741" s="80"/>
      <c r="F741" s="80"/>
      <c r="G741" s="80"/>
      <c r="H741" s="80"/>
      <c r="I741" s="80"/>
      <c r="J741" s="80"/>
    </row>
    <row r="742" spans="1:10" ht="12.75">
      <c r="A742" s="80"/>
      <c r="B742" s="80"/>
      <c r="C742" s="80"/>
      <c r="D742" s="80"/>
      <c r="E742" s="80"/>
      <c r="F742" s="80"/>
      <c r="G742" s="80"/>
      <c r="H742" s="80"/>
      <c r="I742" s="80"/>
      <c r="J742" s="80"/>
    </row>
    <row r="743" spans="1:10" ht="12.75">
      <c r="A743" s="80"/>
      <c r="B743" s="80"/>
      <c r="C743" s="80"/>
      <c r="D743" s="80"/>
      <c r="E743" s="80"/>
      <c r="F743" s="80"/>
      <c r="G743" s="80"/>
      <c r="H743" s="80"/>
      <c r="I743" s="80"/>
      <c r="J743" s="80"/>
    </row>
    <row r="744" spans="1:10" ht="12.75">
      <c r="A744" s="80"/>
      <c r="B744" s="80"/>
      <c r="C744" s="80"/>
      <c r="D744" s="80"/>
      <c r="E744" s="80"/>
      <c r="F744" s="80"/>
      <c r="G744" s="80"/>
      <c r="H744" s="80"/>
      <c r="I744" s="80"/>
      <c r="J744" s="80"/>
    </row>
    <row r="745" spans="1:10" ht="12.75">
      <c r="A745" s="80"/>
      <c r="B745" s="80"/>
      <c r="C745" s="80"/>
      <c r="D745" s="80"/>
      <c r="E745" s="80"/>
      <c r="F745" s="80"/>
      <c r="G745" s="80"/>
      <c r="H745" s="80"/>
      <c r="I745" s="80"/>
      <c r="J745" s="80"/>
    </row>
    <row r="746" spans="1:10" ht="12.75">
      <c r="A746" s="80"/>
      <c r="B746" s="80"/>
      <c r="C746" s="80"/>
      <c r="D746" s="80"/>
      <c r="E746" s="80"/>
      <c r="F746" s="80"/>
      <c r="G746" s="80"/>
      <c r="H746" s="80"/>
      <c r="I746" s="80"/>
      <c r="J746" s="80"/>
    </row>
    <row r="747" spans="1:10" ht="12.75">
      <c r="A747" s="80"/>
      <c r="B747" s="80"/>
      <c r="C747" s="80"/>
      <c r="D747" s="80"/>
      <c r="E747" s="80"/>
      <c r="F747" s="80"/>
      <c r="G747" s="80"/>
      <c r="H747" s="80"/>
      <c r="I747" s="80"/>
      <c r="J747" s="80"/>
    </row>
    <row r="748" spans="1:10" ht="12.75">
      <c r="A748" s="80"/>
      <c r="B748" s="80"/>
      <c r="C748" s="80"/>
      <c r="D748" s="80"/>
      <c r="E748" s="80"/>
      <c r="F748" s="80"/>
      <c r="G748" s="80"/>
      <c r="H748" s="80"/>
      <c r="I748" s="80"/>
      <c r="J748" s="80"/>
    </row>
    <row r="749" spans="1:10" ht="12.75">
      <c r="A749" s="80"/>
      <c r="B749" s="80"/>
      <c r="C749" s="80"/>
      <c r="D749" s="80"/>
      <c r="E749" s="80"/>
      <c r="F749" s="80"/>
      <c r="G749" s="80"/>
      <c r="H749" s="80"/>
      <c r="I749" s="80"/>
      <c r="J749" s="80"/>
    </row>
    <row r="750" spans="1:10" ht="12.75">
      <c r="A750" s="80"/>
      <c r="B750" s="80"/>
      <c r="C750" s="80"/>
      <c r="D750" s="80"/>
      <c r="E750" s="80"/>
      <c r="F750" s="80"/>
      <c r="G750" s="80"/>
      <c r="H750" s="80"/>
      <c r="I750" s="80"/>
      <c r="J750" s="80"/>
    </row>
    <row r="751" spans="1:10" ht="12.75">
      <c r="A751" s="80"/>
      <c r="B751" s="80"/>
      <c r="C751" s="80"/>
      <c r="D751" s="80"/>
      <c r="E751" s="80"/>
      <c r="F751" s="80"/>
      <c r="G751" s="80"/>
      <c r="H751" s="80"/>
      <c r="I751" s="80"/>
      <c r="J751" s="80"/>
    </row>
    <row r="752" spans="1:10" ht="12.75">
      <c r="A752" s="80"/>
      <c r="B752" s="80"/>
      <c r="C752" s="80"/>
      <c r="D752" s="80"/>
      <c r="E752" s="80"/>
      <c r="F752" s="80"/>
      <c r="G752" s="80"/>
      <c r="H752" s="80"/>
      <c r="I752" s="80"/>
      <c r="J752" s="80"/>
    </row>
    <row r="753" spans="1:10" ht="12.75">
      <c r="A753" s="80"/>
      <c r="B753" s="80"/>
      <c r="C753" s="80"/>
      <c r="D753" s="80"/>
      <c r="E753" s="80"/>
      <c r="F753" s="80"/>
      <c r="G753" s="80"/>
      <c r="H753" s="80"/>
      <c r="I753" s="80"/>
      <c r="J753" s="80"/>
    </row>
    <row r="754" spans="1:10" ht="12.75">
      <c r="A754" s="80"/>
      <c r="B754" s="80"/>
      <c r="C754" s="80"/>
      <c r="D754" s="80"/>
      <c r="E754" s="80"/>
      <c r="F754" s="80"/>
      <c r="G754" s="80"/>
      <c r="H754" s="80"/>
      <c r="I754" s="80"/>
      <c r="J754" s="80"/>
    </row>
    <row r="755" spans="1:10" ht="12.75">
      <c r="A755" s="80"/>
      <c r="B755" s="80"/>
      <c r="C755" s="80"/>
      <c r="D755" s="80"/>
      <c r="E755" s="80"/>
      <c r="F755" s="80"/>
      <c r="G755" s="80"/>
      <c r="H755" s="80"/>
      <c r="I755" s="80"/>
      <c r="J755" s="80"/>
    </row>
    <row r="756" spans="1:10" ht="12.75">
      <c r="A756" s="80"/>
      <c r="B756" s="80"/>
      <c r="C756" s="80"/>
      <c r="D756" s="80"/>
      <c r="E756" s="80"/>
      <c r="F756" s="80"/>
      <c r="G756" s="80"/>
      <c r="H756" s="80"/>
      <c r="I756" s="80"/>
      <c r="J756" s="80"/>
    </row>
    <row r="757" spans="1:10" ht="12.75">
      <c r="A757" s="80"/>
      <c r="B757" s="80"/>
      <c r="C757" s="80"/>
      <c r="D757" s="80"/>
      <c r="E757" s="80"/>
      <c r="F757" s="80"/>
      <c r="G757" s="80"/>
      <c r="H757" s="80"/>
      <c r="I757" s="80"/>
      <c r="J757" s="80"/>
    </row>
    <row r="758" spans="1:10" ht="12.75">
      <c r="A758" s="80"/>
      <c r="B758" s="80"/>
      <c r="C758" s="80"/>
      <c r="D758" s="80"/>
      <c r="E758" s="80"/>
      <c r="F758" s="80"/>
      <c r="G758" s="80"/>
      <c r="H758" s="80"/>
      <c r="I758" s="80"/>
      <c r="J758" s="80"/>
    </row>
    <row r="759" spans="1:10" ht="12.75">
      <c r="A759" s="80"/>
      <c r="B759" s="80"/>
      <c r="C759" s="80"/>
      <c r="D759" s="80"/>
      <c r="E759" s="80"/>
      <c r="F759" s="80"/>
      <c r="G759" s="80"/>
      <c r="H759" s="80"/>
      <c r="I759" s="80"/>
      <c r="J759" s="80"/>
    </row>
    <row r="760" spans="1:10" ht="12.75">
      <c r="A760" s="80"/>
      <c r="B760" s="80"/>
      <c r="C760" s="80"/>
      <c r="D760" s="80"/>
      <c r="E760" s="80"/>
      <c r="F760" s="80"/>
      <c r="G760" s="80"/>
      <c r="H760" s="80"/>
      <c r="I760" s="80"/>
      <c r="J760" s="80"/>
    </row>
    <row r="761" spans="1:10" ht="12.75">
      <c r="A761" s="80"/>
      <c r="B761" s="80"/>
      <c r="C761" s="80"/>
      <c r="D761" s="80"/>
      <c r="E761" s="80"/>
      <c r="F761" s="80"/>
      <c r="G761" s="80"/>
      <c r="H761" s="80"/>
      <c r="I761" s="80"/>
      <c r="J761" s="80"/>
    </row>
    <row r="762" spans="1:10" ht="12.75">
      <c r="A762" s="80"/>
      <c r="B762" s="80"/>
      <c r="C762" s="80"/>
      <c r="D762" s="80"/>
      <c r="E762" s="80"/>
      <c r="F762" s="80"/>
      <c r="G762" s="80"/>
      <c r="H762" s="80"/>
      <c r="I762" s="80"/>
      <c r="J762" s="80"/>
    </row>
    <row r="763" spans="1:10" ht="12.75">
      <c r="A763" s="80"/>
      <c r="B763" s="80"/>
      <c r="C763" s="80"/>
      <c r="D763" s="80"/>
      <c r="E763" s="80"/>
      <c r="F763" s="80"/>
      <c r="G763" s="80"/>
      <c r="H763" s="80"/>
      <c r="I763" s="80"/>
      <c r="J763" s="80"/>
    </row>
    <row r="764" spans="1:10" ht="12.75">
      <c r="A764" s="80"/>
      <c r="B764" s="80"/>
      <c r="C764" s="80"/>
      <c r="D764" s="80"/>
      <c r="E764" s="80"/>
      <c r="F764" s="80"/>
      <c r="G764" s="80"/>
      <c r="H764" s="80"/>
      <c r="I764" s="80"/>
      <c r="J764" s="80"/>
    </row>
    <row r="765" spans="1:10" ht="12.75">
      <c r="A765" s="80"/>
      <c r="B765" s="80"/>
      <c r="C765" s="80"/>
      <c r="D765" s="80"/>
      <c r="E765" s="80"/>
      <c r="F765" s="80"/>
      <c r="G765" s="80"/>
      <c r="H765" s="80"/>
      <c r="I765" s="80"/>
      <c r="J765" s="80"/>
    </row>
    <row r="766" spans="1:10" ht="12.75">
      <c r="A766" s="80"/>
      <c r="B766" s="80"/>
      <c r="C766" s="80"/>
      <c r="D766" s="80"/>
      <c r="E766" s="80"/>
      <c r="F766" s="80"/>
      <c r="G766" s="80"/>
      <c r="H766" s="80"/>
      <c r="I766" s="80"/>
      <c r="J766" s="80"/>
    </row>
    <row r="767" spans="1:10" ht="12.75">
      <c r="A767" s="80"/>
      <c r="B767" s="80"/>
      <c r="C767" s="80"/>
      <c r="D767" s="80"/>
      <c r="E767" s="80"/>
      <c r="F767" s="80"/>
      <c r="G767" s="80"/>
      <c r="H767" s="80"/>
      <c r="I767" s="80"/>
      <c r="J767" s="80"/>
    </row>
    <row r="768" spans="1:10" ht="12.75">
      <c r="A768" s="80"/>
      <c r="B768" s="80"/>
      <c r="C768" s="80"/>
      <c r="D768" s="80"/>
      <c r="E768" s="80"/>
      <c r="F768" s="80"/>
      <c r="G768" s="80"/>
      <c r="H768" s="80"/>
      <c r="I768" s="80"/>
      <c r="J768" s="80"/>
    </row>
    <row r="769" spans="1:10" ht="12.75">
      <c r="A769" s="80"/>
      <c r="B769" s="80"/>
      <c r="C769" s="80"/>
      <c r="D769" s="80"/>
      <c r="E769" s="80"/>
      <c r="F769" s="80"/>
      <c r="G769" s="80"/>
      <c r="H769" s="80"/>
      <c r="I769" s="80"/>
      <c r="J769" s="80"/>
    </row>
    <row r="770" spans="1:10" ht="12.75">
      <c r="A770" s="80"/>
      <c r="B770" s="80"/>
      <c r="C770" s="80"/>
      <c r="D770" s="80"/>
      <c r="E770" s="80"/>
      <c r="F770" s="80"/>
      <c r="G770" s="80"/>
      <c r="H770" s="80"/>
      <c r="I770" s="80"/>
      <c r="J770" s="80"/>
    </row>
    <row r="771" spans="1:10" ht="12.75">
      <c r="A771" s="80"/>
      <c r="B771" s="80"/>
      <c r="C771" s="80"/>
      <c r="D771" s="80"/>
      <c r="E771" s="80"/>
      <c r="F771" s="80"/>
      <c r="G771" s="80"/>
      <c r="H771" s="80"/>
      <c r="I771" s="80"/>
      <c r="J771" s="80"/>
    </row>
    <row r="772" spans="1:10" ht="12.75">
      <c r="A772" s="80"/>
      <c r="B772" s="80"/>
      <c r="C772" s="80"/>
      <c r="D772" s="80"/>
      <c r="E772" s="80"/>
      <c r="F772" s="80"/>
      <c r="G772" s="80"/>
      <c r="H772" s="80"/>
      <c r="I772" s="80"/>
      <c r="J772" s="80"/>
    </row>
    <row r="773" spans="1:10" ht="12.75">
      <c r="A773" s="80"/>
      <c r="B773" s="80"/>
      <c r="C773" s="80"/>
      <c r="D773" s="80"/>
      <c r="E773" s="80"/>
      <c r="F773" s="80"/>
      <c r="G773" s="80"/>
      <c r="H773" s="80"/>
      <c r="I773" s="80"/>
      <c r="J773" s="80"/>
    </row>
    <row r="774" spans="1:10" ht="12.75">
      <c r="A774" s="80"/>
      <c r="B774" s="80"/>
      <c r="C774" s="80"/>
      <c r="D774" s="80"/>
      <c r="E774" s="80"/>
      <c r="F774" s="80"/>
      <c r="G774" s="80"/>
      <c r="H774" s="80"/>
      <c r="I774" s="80"/>
      <c r="J774" s="80"/>
    </row>
    <row r="775" spans="1:10" ht="12.75">
      <c r="A775" s="80"/>
      <c r="B775" s="80"/>
      <c r="C775" s="80"/>
      <c r="D775" s="80"/>
      <c r="E775" s="80"/>
      <c r="F775" s="80"/>
      <c r="G775" s="80"/>
      <c r="H775" s="80"/>
      <c r="I775" s="80"/>
      <c r="J775" s="80"/>
    </row>
    <row r="776" spans="1:10" ht="12.75">
      <c r="A776" s="80"/>
      <c r="B776" s="80"/>
      <c r="C776" s="80"/>
      <c r="D776" s="80"/>
      <c r="E776" s="80"/>
      <c r="F776" s="80"/>
      <c r="G776" s="80"/>
      <c r="H776" s="80"/>
      <c r="I776" s="80"/>
      <c r="J776" s="80"/>
    </row>
    <row r="777" spans="1:10" ht="12.75">
      <c r="A777" s="80"/>
      <c r="B777" s="80"/>
      <c r="C777" s="80"/>
      <c r="D777" s="80"/>
      <c r="E777" s="80"/>
      <c r="F777" s="80"/>
      <c r="G777" s="80"/>
      <c r="H777" s="80"/>
      <c r="I777" s="80"/>
      <c r="J777" s="80"/>
    </row>
    <row r="778" spans="1:10" ht="12.75">
      <c r="A778" s="80"/>
      <c r="B778" s="80"/>
      <c r="C778" s="80"/>
      <c r="D778" s="80"/>
      <c r="E778" s="80"/>
      <c r="F778" s="80"/>
      <c r="G778" s="80"/>
      <c r="H778" s="80"/>
      <c r="I778" s="80"/>
      <c r="J778" s="80"/>
    </row>
    <row r="779" spans="1:10" ht="12.75">
      <c r="A779" s="80"/>
      <c r="B779" s="80"/>
      <c r="C779" s="80"/>
      <c r="D779" s="80"/>
      <c r="E779" s="80"/>
      <c r="F779" s="80"/>
      <c r="G779" s="80"/>
      <c r="H779" s="80"/>
      <c r="I779" s="80"/>
      <c r="J779" s="80"/>
    </row>
    <row r="780" spans="1:10" ht="12.75">
      <c r="A780" s="80"/>
      <c r="B780" s="80"/>
      <c r="C780" s="80"/>
      <c r="D780" s="80"/>
      <c r="E780" s="80"/>
      <c r="F780" s="80"/>
      <c r="G780" s="80"/>
      <c r="H780" s="80"/>
      <c r="I780" s="80"/>
      <c r="J780" s="80"/>
    </row>
    <row r="781" spans="1:10" ht="12.75">
      <c r="A781" s="80"/>
      <c r="B781" s="80"/>
      <c r="C781" s="80"/>
      <c r="D781" s="80"/>
      <c r="E781" s="80"/>
      <c r="F781" s="80"/>
      <c r="G781" s="80"/>
      <c r="H781" s="80"/>
      <c r="I781" s="80"/>
      <c r="J781" s="80"/>
    </row>
    <row r="782" spans="1:10" ht="12.75">
      <c r="A782" s="80"/>
      <c r="B782" s="80"/>
      <c r="C782" s="80"/>
      <c r="D782" s="80"/>
      <c r="E782" s="80"/>
      <c r="F782" s="80"/>
      <c r="G782" s="80"/>
      <c r="H782" s="80"/>
      <c r="I782" s="80"/>
      <c r="J782" s="80"/>
    </row>
    <row r="783" spans="1:10" ht="12.75">
      <c r="A783" s="80"/>
      <c r="B783" s="80"/>
      <c r="C783" s="80"/>
      <c r="D783" s="80"/>
      <c r="E783" s="80"/>
      <c r="F783" s="80"/>
      <c r="G783" s="80"/>
      <c r="H783" s="80"/>
      <c r="I783" s="80"/>
      <c r="J783" s="80"/>
    </row>
    <row r="784" spans="1:10" ht="12.75">
      <c r="A784" s="80"/>
      <c r="B784" s="80"/>
      <c r="C784" s="80"/>
      <c r="D784" s="80"/>
      <c r="E784" s="80"/>
      <c r="F784" s="80"/>
      <c r="G784" s="80"/>
      <c r="H784" s="80"/>
      <c r="I784" s="80"/>
      <c r="J784" s="80"/>
    </row>
    <row r="785" spans="1:10" ht="12.75">
      <c r="A785" s="80"/>
      <c r="B785" s="80"/>
      <c r="C785" s="80"/>
      <c r="D785" s="80"/>
      <c r="E785" s="80"/>
      <c r="F785" s="80"/>
      <c r="G785" s="80"/>
      <c r="H785" s="80"/>
      <c r="I785" s="80"/>
      <c r="J785" s="80"/>
    </row>
    <row r="786" spans="1:10" ht="12.75">
      <c r="A786" s="80"/>
      <c r="B786" s="80"/>
      <c r="C786" s="80"/>
      <c r="D786" s="80"/>
      <c r="E786" s="80"/>
      <c r="F786" s="80"/>
      <c r="G786" s="80"/>
      <c r="H786" s="80"/>
      <c r="I786" s="80"/>
      <c r="J786" s="80"/>
    </row>
    <row r="787" spans="1:10" ht="12.75">
      <c r="A787" s="80"/>
      <c r="B787" s="80"/>
      <c r="C787" s="80"/>
      <c r="D787" s="80"/>
      <c r="E787" s="80"/>
      <c r="F787" s="80"/>
      <c r="G787" s="80"/>
      <c r="H787" s="80"/>
      <c r="I787" s="80"/>
      <c r="J787" s="80"/>
    </row>
    <row r="788" spans="1:10" ht="12.75">
      <c r="A788" s="80"/>
      <c r="B788" s="80"/>
      <c r="C788" s="80"/>
      <c r="D788" s="80"/>
      <c r="E788" s="80"/>
      <c r="F788" s="80"/>
      <c r="G788" s="80"/>
      <c r="H788" s="80"/>
      <c r="I788" s="80"/>
      <c r="J788" s="80"/>
    </row>
    <row r="789" spans="1:10" ht="12.75">
      <c r="A789" s="80"/>
      <c r="B789" s="80"/>
      <c r="C789" s="80"/>
      <c r="D789" s="80"/>
      <c r="E789" s="80"/>
      <c r="F789" s="80"/>
      <c r="G789" s="80"/>
      <c r="H789" s="80"/>
      <c r="I789" s="80"/>
      <c r="J789" s="80"/>
    </row>
    <row r="790" spans="1:10" ht="12.75">
      <c r="A790" s="80"/>
      <c r="B790" s="80"/>
      <c r="C790" s="80"/>
      <c r="D790" s="80"/>
      <c r="E790" s="80"/>
      <c r="F790" s="80"/>
      <c r="G790" s="80"/>
      <c r="H790" s="80"/>
      <c r="I790" s="80"/>
      <c r="J790" s="80"/>
    </row>
    <row r="791" spans="1:10" ht="12.75">
      <c r="A791" s="80"/>
      <c r="B791" s="80"/>
      <c r="C791" s="80"/>
      <c r="D791" s="80"/>
      <c r="E791" s="80"/>
      <c r="F791" s="80"/>
      <c r="G791" s="80"/>
      <c r="H791" s="80"/>
      <c r="I791" s="80"/>
      <c r="J791" s="80"/>
    </row>
    <row r="792" spans="1:10" ht="12.75">
      <c r="A792" s="80"/>
      <c r="B792" s="80"/>
      <c r="C792" s="80"/>
      <c r="D792" s="80"/>
      <c r="E792" s="80"/>
      <c r="F792" s="80"/>
      <c r="G792" s="80"/>
      <c r="H792" s="80"/>
      <c r="I792" s="80"/>
      <c r="J792" s="80"/>
    </row>
    <row r="793" spans="1:10" ht="12.75">
      <c r="A793" s="80"/>
      <c r="B793" s="80"/>
      <c r="C793" s="80"/>
      <c r="D793" s="80"/>
      <c r="E793" s="80"/>
      <c r="F793" s="80"/>
      <c r="G793" s="80"/>
      <c r="H793" s="80"/>
      <c r="I793" s="80"/>
      <c r="J793" s="80"/>
    </row>
    <row r="794" spans="1:10" ht="12.75">
      <c r="A794" s="80"/>
      <c r="B794" s="80"/>
      <c r="C794" s="80"/>
      <c r="D794" s="80"/>
      <c r="E794" s="80"/>
      <c r="F794" s="80"/>
      <c r="G794" s="80"/>
      <c r="H794" s="80"/>
      <c r="I794" s="80"/>
      <c r="J794" s="80"/>
    </row>
    <row r="795" spans="1:10" ht="12.75">
      <c r="A795" s="80"/>
      <c r="B795" s="80"/>
      <c r="C795" s="80"/>
      <c r="D795" s="80"/>
      <c r="E795" s="80"/>
      <c r="F795" s="80"/>
      <c r="G795" s="80"/>
      <c r="H795" s="80"/>
      <c r="I795" s="80"/>
      <c r="J795" s="80"/>
    </row>
    <row r="796" spans="1:10" ht="12.75">
      <c r="A796" s="80"/>
      <c r="B796" s="80"/>
      <c r="C796" s="80"/>
      <c r="D796" s="80"/>
      <c r="E796" s="80"/>
      <c r="F796" s="80"/>
      <c r="G796" s="80"/>
      <c r="H796" s="80"/>
      <c r="I796" s="80"/>
      <c r="J796" s="80"/>
    </row>
    <row r="797" spans="1:10" ht="12.75">
      <c r="A797" s="80"/>
      <c r="B797" s="80"/>
      <c r="C797" s="80"/>
      <c r="D797" s="80"/>
      <c r="E797" s="80"/>
      <c r="F797" s="80"/>
      <c r="G797" s="80"/>
      <c r="H797" s="80"/>
      <c r="I797" s="80"/>
      <c r="J797" s="80"/>
    </row>
    <row r="798" spans="1:10" ht="12.75">
      <c r="A798" s="80"/>
      <c r="B798" s="80"/>
      <c r="C798" s="80"/>
      <c r="D798" s="80"/>
      <c r="E798" s="80"/>
      <c r="F798" s="80"/>
      <c r="G798" s="80"/>
      <c r="H798" s="80"/>
      <c r="I798" s="80"/>
      <c r="J798" s="80"/>
    </row>
    <row r="799" spans="1:10" ht="12.75">
      <c r="A799" s="80"/>
      <c r="B799" s="80"/>
      <c r="C799" s="80"/>
      <c r="D799" s="80"/>
      <c r="E799" s="80"/>
      <c r="F799" s="80"/>
      <c r="G799" s="80"/>
      <c r="H799" s="80"/>
      <c r="I799" s="80"/>
      <c r="J799" s="80"/>
    </row>
    <row r="800" spans="1:10" ht="12.75">
      <c r="A800" s="80"/>
      <c r="B800" s="80"/>
      <c r="C800" s="80"/>
      <c r="D800" s="80"/>
      <c r="E800" s="80"/>
      <c r="F800" s="80"/>
      <c r="G800" s="80"/>
      <c r="H800" s="80"/>
      <c r="I800" s="80"/>
      <c r="J800" s="80"/>
    </row>
    <row r="801" spans="1:10" ht="12.75">
      <c r="A801" s="80"/>
      <c r="B801" s="80"/>
      <c r="C801" s="80"/>
      <c r="D801" s="80"/>
      <c r="E801" s="80"/>
      <c r="F801" s="80"/>
      <c r="G801" s="80"/>
      <c r="H801" s="80"/>
      <c r="I801" s="80"/>
      <c r="J801" s="80"/>
    </row>
    <row r="802" spans="1:10" ht="12.75">
      <c r="A802" s="80"/>
      <c r="B802" s="80"/>
      <c r="C802" s="80"/>
      <c r="D802" s="80"/>
      <c r="E802" s="80"/>
      <c r="F802" s="80"/>
      <c r="G802" s="80"/>
      <c r="H802" s="80"/>
      <c r="I802" s="80"/>
      <c r="J802" s="80"/>
    </row>
    <row r="803" spans="1:10" ht="12.75">
      <c r="A803" s="80"/>
      <c r="B803" s="80"/>
      <c r="C803" s="80"/>
      <c r="D803" s="80"/>
      <c r="E803" s="80"/>
      <c r="F803" s="80"/>
      <c r="G803" s="80"/>
      <c r="H803" s="80"/>
      <c r="I803" s="80"/>
      <c r="J803" s="80"/>
    </row>
    <row r="804" spans="1:10" ht="12.75">
      <c r="A804" s="80"/>
      <c r="B804" s="80"/>
      <c r="C804" s="80"/>
      <c r="D804" s="80"/>
      <c r="E804" s="80"/>
      <c r="F804" s="80"/>
      <c r="G804" s="80"/>
      <c r="H804" s="80"/>
      <c r="I804" s="80"/>
      <c r="J804" s="80"/>
    </row>
    <row r="805" spans="1:10" ht="12.75">
      <c r="A805" s="80"/>
      <c r="B805" s="80"/>
      <c r="C805" s="80"/>
      <c r="D805" s="80"/>
      <c r="E805" s="80"/>
      <c r="F805" s="80"/>
      <c r="G805" s="80"/>
      <c r="H805" s="80"/>
      <c r="I805" s="80"/>
      <c r="J805" s="80"/>
    </row>
    <row r="806" spans="1:10" ht="12.75">
      <c r="A806" s="80"/>
      <c r="B806" s="80"/>
      <c r="C806" s="80"/>
      <c r="D806" s="80"/>
      <c r="E806" s="80"/>
      <c r="F806" s="80"/>
      <c r="G806" s="80"/>
      <c r="H806" s="80"/>
      <c r="I806" s="80"/>
      <c r="J806" s="80"/>
    </row>
    <row r="807" spans="1:10" ht="12.75">
      <c r="A807" s="80"/>
      <c r="B807" s="80"/>
      <c r="C807" s="80"/>
      <c r="D807" s="80"/>
      <c r="E807" s="80"/>
      <c r="F807" s="80"/>
      <c r="G807" s="80"/>
      <c r="H807" s="80"/>
      <c r="I807" s="80"/>
      <c r="J807" s="80"/>
    </row>
    <row r="808" spans="1:10" ht="12.75">
      <c r="A808" s="80"/>
      <c r="B808" s="80"/>
      <c r="C808" s="80"/>
      <c r="D808" s="80"/>
      <c r="E808" s="80"/>
      <c r="F808" s="80"/>
      <c r="G808" s="80"/>
      <c r="H808" s="80"/>
      <c r="I808" s="80"/>
      <c r="J808" s="80"/>
    </row>
    <row r="809" spans="1:10" ht="12.75">
      <c r="A809" s="80"/>
      <c r="B809" s="80"/>
      <c r="C809" s="80"/>
      <c r="D809" s="80"/>
      <c r="E809" s="80"/>
      <c r="F809" s="80"/>
      <c r="G809" s="80"/>
      <c r="H809" s="80"/>
      <c r="I809" s="80"/>
      <c r="J809" s="80"/>
    </row>
    <row r="810" spans="1:10" ht="12.75">
      <c r="A810" s="80"/>
      <c r="B810" s="80"/>
      <c r="C810" s="80"/>
      <c r="D810" s="80"/>
      <c r="E810" s="80"/>
      <c r="F810" s="80"/>
      <c r="G810" s="80"/>
      <c r="H810" s="80"/>
      <c r="I810" s="80"/>
      <c r="J810" s="80"/>
    </row>
    <row r="811" spans="1:10" ht="12.75">
      <c r="A811" s="80"/>
      <c r="B811" s="80"/>
      <c r="C811" s="80"/>
      <c r="D811" s="80"/>
      <c r="E811" s="80"/>
      <c r="F811" s="80"/>
      <c r="G811" s="80"/>
      <c r="H811" s="80"/>
      <c r="I811" s="80"/>
      <c r="J811" s="80"/>
    </row>
    <row r="812" spans="1:10" ht="12.75">
      <c r="A812" s="80"/>
      <c r="B812" s="80"/>
      <c r="C812" s="80"/>
      <c r="D812" s="80"/>
      <c r="E812" s="80"/>
      <c r="F812" s="80"/>
      <c r="G812" s="80"/>
      <c r="H812" s="80"/>
      <c r="I812" s="80"/>
      <c r="J812" s="80"/>
    </row>
    <row r="813" spans="1:10" ht="12.75">
      <c r="A813" s="80"/>
      <c r="B813" s="80"/>
      <c r="C813" s="80"/>
      <c r="D813" s="80"/>
      <c r="E813" s="80"/>
      <c r="F813" s="80"/>
      <c r="G813" s="80"/>
      <c r="H813" s="80"/>
      <c r="I813" s="80"/>
      <c r="J813" s="80"/>
    </row>
    <row r="814" spans="1:10" ht="12.75">
      <c r="A814" s="80"/>
      <c r="B814" s="80"/>
      <c r="C814" s="80"/>
      <c r="D814" s="80"/>
      <c r="E814" s="80"/>
      <c r="F814" s="80"/>
      <c r="G814" s="80"/>
      <c r="H814" s="80"/>
      <c r="I814" s="80"/>
      <c r="J814" s="80"/>
    </row>
    <row r="815" spans="1:10" ht="12.75">
      <c r="A815" s="80"/>
      <c r="B815" s="80"/>
      <c r="C815" s="80"/>
      <c r="D815" s="80"/>
      <c r="E815" s="80"/>
      <c r="F815" s="80"/>
      <c r="G815" s="80"/>
      <c r="H815" s="80"/>
      <c r="I815" s="80"/>
      <c r="J815" s="80"/>
    </row>
    <row r="816" spans="1:10" ht="12.75">
      <c r="A816" s="80"/>
      <c r="B816" s="80"/>
      <c r="C816" s="80"/>
      <c r="D816" s="80"/>
      <c r="E816" s="80"/>
      <c r="F816" s="80"/>
      <c r="G816" s="80"/>
      <c r="H816" s="80"/>
      <c r="I816" s="80"/>
      <c r="J816" s="80"/>
    </row>
    <row r="817" spans="1:10" ht="12.75">
      <c r="A817" s="80"/>
      <c r="B817" s="80"/>
      <c r="C817" s="80"/>
      <c r="D817" s="80"/>
      <c r="E817" s="80"/>
      <c r="F817" s="80"/>
      <c r="G817" s="80"/>
      <c r="H817" s="80"/>
      <c r="I817" s="80"/>
      <c r="J817" s="80"/>
    </row>
    <row r="818" spans="1:10" ht="12.75">
      <c r="A818" s="80"/>
      <c r="B818" s="80"/>
      <c r="C818" s="80"/>
      <c r="D818" s="80"/>
      <c r="E818" s="80"/>
      <c r="F818" s="80"/>
      <c r="G818" s="80"/>
      <c r="H818" s="80"/>
      <c r="I818" s="80"/>
      <c r="J818" s="80"/>
    </row>
    <row r="819" spans="1:10" ht="12.75">
      <c r="A819" s="80"/>
      <c r="B819" s="80"/>
      <c r="C819" s="80"/>
      <c r="D819" s="80"/>
      <c r="E819" s="80"/>
      <c r="F819" s="80"/>
      <c r="G819" s="80"/>
      <c r="H819" s="80"/>
      <c r="I819" s="80"/>
      <c r="J819" s="80"/>
    </row>
    <row r="820" spans="1:10" ht="12.75">
      <c r="A820" s="80"/>
      <c r="B820" s="80"/>
      <c r="C820" s="80"/>
      <c r="D820" s="80"/>
      <c r="E820" s="80"/>
      <c r="F820" s="80"/>
      <c r="G820" s="80"/>
      <c r="H820" s="80"/>
      <c r="I820" s="80"/>
      <c r="J820" s="80"/>
    </row>
    <row r="821" spans="1:10" ht="12.75">
      <c r="A821" s="80"/>
      <c r="B821" s="80"/>
      <c r="C821" s="80"/>
      <c r="D821" s="80"/>
      <c r="E821" s="80"/>
      <c r="F821" s="80"/>
      <c r="G821" s="80"/>
      <c r="H821" s="80"/>
      <c r="I821" s="80"/>
      <c r="J821" s="80"/>
    </row>
    <row r="822" spans="1:10" ht="12.75">
      <c r="A822" s="80"/>
      <c r="B822" s="80"/>
      <c r="C822" s="80"/>
      <c r="D822" s="80"/>
      <c r="E822" s="80"/>
      <c r="F822" s="80"/>
      <c r="G822" s="80"/>
      <c r="H822" s="80"/>
      <c r="I822" s="80"/>
      <c r="J822" s="80"/>
    </row>
    <row r="823" spans="1:10" ht="12.75">
      <c r="A823" s="80"/>
      <c r="B823" s="80"/>
      <c r="C823" s="80"/>
      <c r="D823" s="80"/>
      <c r="E823" s="80"/>
      <c r="F823" s="80"/>
      <c r="G823" s="80"/>
      <c r="H823" s="80"/>
      <c r="I823" s="80"/>
      <c r="J823" s="80"/>
    </row>
    <row r="824" spans="1:10" ht="12.75">
      <c r="A824" s="80"/>
      <c r="B824" s="80"/>
      <c r="C824" s="80"/>
      <c r="D824" s="80"/>
      <c r="E824" s="80"/>
      <c r="F824" s="80"/>
      <c r="G824" s="80"/>
      <c r="H824" s="80"/>
      <c r="I824" s="80"/>
      <c r="J824" s="80"/>
    </row>
    <row r="825" spans="1:10" ht="12.75">
      <c r="A825" s="80"/>
      <c r="B825" s="80"/>
      <c r="C825" s="80"/>
      <c r="D825" s="80"/>
      <c r="E825" s="80"/>
      <c r="F825" s="80"/>
      <c r="G825" s="80"/>
      <c r="H825" s="80"/>
      <c r="I825" s="80"/>
      <c r="J825" s="80"/>
    </row>
    <row r="826" spans="1:10" ht="12.75">
      <c r="A826" s="80"/>
      <c r="B826" s="80"/>
      <c r="C826" s="80"/>
      <c r="D826" s="80"/>
      <c r="E826" s="80"/>
      <c r="F826" s="80"/>
      <c r="G826" s="80"/>
      <c r="H826" s="80"/>
      <c r="I826" s="80"/>
      <c r="J826" s="80"/>
    </row>
    <row r="827" spans="1:10" ht="12.75">
      <c r="A827" s="80"/>
      <c r="B827" s="80"/>
      <c r="C827" s="80"/>
      <c r="D827" s="80"/>
      <c r="E827" s="80"/>
      <c r="F827" s="80"/>
      <c r="G827" s="80"/>
      <c r="H827" s="80"/>
      <c r="I827" s="80"/>
      <c r="J827" s="80"/>
    </row>
    <row r="828" spans="1:10" ht="12.75">
      <c r="A828" s="80"/>
      <c r="B828" s="80"/>
      <c r="C828" s="80"/>
      <c r="D828" s="80"/>
      <c r="E828" s="80"/>
      <c r="F828" s="80"/>
      <c r="G828" s="80"/>
      <c r="H828" s="80"/>
      <c r="I828" s="80"/>
      <c r="J828" s="80"/>
    </row>
    <row r="829" spans="1:10" ht="12.75">
      <c r="A829" s="80"/>
      <c r="B829" s="80"/>
      <c r="C829" s="80"/>
      <c r="D829" s="80"/>
      <c r="E829" s="80"/>
      <c r="F829" s="80"/>
      <c r="G829" s="80"/>
      <c r="H829" s="80"/>
      <c r="I829" s="80"/>
      <c r="J829" s="80"/>
    </row>
    <row r="830" spans="1:10" ht="12.75">
      <c r="A830" s="80"/>
      <c r="B830" s="80"/>
      <c r="C830" s="80"/>
      <c r="D830" s="80"/>
      <c r="E830" s="80"/>
      <c r="F830" s="80"/>
      <c r="G830" s="80"/>
      <c r="H830" s="80"/>
      <c r="I830" s="80"/>
      <c r="J830" s="80"/>
    </row>
    <row r="831" spans="1:10" ht="12.75">
      <c r="A831" s="80"/>
      <c r="B831" s="80"/>
      <c r="C831" s="80"/>
      <c r="D831" s="80"/>
      <c r="E831" s="80"/>
      <c r="F831" s="80"/>
      <c r="G831" s="80"/>
      <c r="H831" s="80"/>
      <c r="I831" s="80"/>
      <c r="J831" s="80"/>
    </row>
    <row r="832" spans="1:10" ht="12.75">
      <c r="A832" s="80"/>
      <c r="B832" s="80"/>
      <c r="C832" s="80"/>
      <c r="D832" s="80"/>
      <c r="E832" s="80"/>
      <c r="F832" s="80"/>
      <c r="G832" s="80"/>
      <c r="H832" s="80"/>
      <c r="I832" s="80"/>
      <c r="J832" s="80"/>
    </row>
    <row r="833" spans="1:10" ht="12.75">
      <c r="A833" s="80"/>
      <c r="B833" s="80"/>
      <c r="C833" s="80"/>
      <c r="D833" s="80"/>
      <c r="E833" s="80"/>
      <c r="F833" s="80"/>
      <c r="G833" s="80"/>
      <c r="H833" s="80"/>
      <c r="I833" s="80"/>
      <c r="J833" s="80"/>
    </row>
    <row r="834" spans="1:10" ht="12.75">
      <c r="A834" s="80"/>
      <c r="B834" s="80"/>
      <c r="C834" s="80"/>
      <c r="D834" s="80"/>
      <c r="E834" s="80"/>
      <c r="F834" s="80"/>
      <c r="G834" s="80"/>
      <c r="H834" s="80"/>
      <c r="I834" s="80"/>
      <c r="J834" s="80"/>
    </row>
    <row r="835" spans="1:10" ht="12.75">
      <c r="A835" s="80"/>
      <c r="B835" s="80"/>
      <c r="C835" s="80"/>
      <c r="D835" s="80"/>
      <c r="E835" s="80"/>
      <c r="F835" s="80"/>
      <c r="G835" s="80"/>
      <c r="H835" s="80"/>
      <c r="I835" s="80"/>
      <c r="J835" s="80"/>
    </row>
    <row r="836" spans="1:10" ht="12.75">
      <c r="A836" s="80"/>
      <c r="B836" s="80"/>
      <c r="C836" s="80"/>
      <c r="D836" s="80"/>
      <c r="E836" s="80"/>
      <c r="F836" s="80"/>
      <c r="G836" s="80"/>
      <c r="H836" s="80"/>
      <c r="I836" s="80"/>
      <c r="J836" s="80"/>
    </row>
    <row r="837" spans="1:10" ht="12.75">
      <c r="A837" s="80"/>
      <c r="B837" s="80"/>
      <c r="C837" s="80"/>
      <c r="D837" s="80"/>
      <c r="E837" s="80"/>
      <c r="F837" s="80"/>
      <c r="G837" s="80"/>
      <c r="H837" s="80"/>
      <c r="I837" s="80"/>
      <c r="J837" s="80"/>
    </row>
    <row r="838" spans="1:10" ht="12.75">
      <c r="A838" s="80"/>
      <c r="B838" s="80"/>
      <c r="C838" s="80"/>
      <c r="D838" s="80"/>
      <c r="E838" s="80"/>
      <c r="F838" s="80"/>
      <c r="G838" s="80"/>
      <c r="H838" s="80"/>
      <c r="I838" s="80"/>
      <c r="J838" s="80"/>
    </row>
    <row r="839" spans="1:10" ht="12.75">
      <c r="A839" s="80"/>
      <c r="B839" s="80"/>
      <c r="C839" s="80"/>
      <c r="D839" s="80"/>
      <c r="E839" s="80"/>
      <c r="F839" s="80"/>
      <c r="G839" s="80"/>
      <c r="H839" s="80"/>
      <c r="I839" s="80"/>
      <c r="J839" s="80"/>
    </row>
    <row r="840" spans="1:10" ht="12.75">
      <c r="A840" s="80"/>
      <c r="B840" s="80"/>
      <c r="C840" s="80"/>
      <c r="D840" s="80"/>
      <c r="E840" s="80"/>
      <c r="F840" s="80"/>
      <c r="G840" s="80"/>
      <c r="H840" s="80"/>
      <c r="I840" s="80"/>
      <c r="J840" s="80"/>
    </row>
    <row r="841" spans="1:10" ht="12.75">
      <c r="A841" s="80"/>
      <c r="B841" s="80"/>
      <c r="C841" s="80"/>
      <c r="D841" s="80"/>
      <c r="E841" s="80"/>
      <c r="F841" s="80"/>
      <c r="G841" s="80"/>
      <c r="H841" s="80"/>
      <c r="I841" s="80"/>
      <c r="J841" s="80"/>
    </row>
    <row r="842" spans="1:10" ht="12.75">
      <c r="A842" s="80"/>
      <c r="B842" s="80"/>
      <c r="C842" s="80"/>
      <c r="D842" s="80"/>
      <c r="E842" s="80"/>
      <c r="F842" s="80"/>
      <c r="G842" s="80"/>
      <c r="H842" s="80"/>
      <c r="I842" s="80"/>
      <c r="J842" s="80"/>
    </row>
    <row r="843" spans="1:10" ht="12.75">
      <c r="A843" s="80"/>
      <c r="B843" s="80"/>
      <c r="C843" s="80"/>
      <c r="D843" s="80"/>
      <c r="E843" s="80"/>
      <c r="F843" s="80"/>
      <c r="G843" s="80"/>
      <c r="H843" s="80"/>
      <c r="I843" s="80"/>
      <c r="J843" s="80"/>
    </row>
    <row r="844" spans="1:10" ht="12.75">
      <c r="A844" s="80"/>
      <c r="B844" s="80"/>
      <c r="C844" s="80"/>
      <c r="D844" s="80"/>
      <c r="E844" s="80"/>
      <c r="F844" s="80"/>
      <c r="G844" s="80"/>
      <c r="H844" s="80"/>
      <c r="I844" s="80"/>
      <c r="J844" s="80"/>
    </row>
    <row r="845" spans="1:10" ht="12.75">
      <c r="A845" s="80"/>
      <c r="B845" s="80"/>
      <c r="C845" s="80"/>
      <c r="D845" s="80"/>
      <c r="E845" s="80"/>
      <c r="F845" s="80"/>
      <c r="G845" s="80"/>
      <c r="H845" s="80"/>
      <c r="I845" s="80"/>
      <c r="J845" s="80"/>
    </row>
    <row r="846" spans="1:10" ht="12.75">
      <c r="A846" s="80"/>
      <c r="B846" s="80"/>
      <c r="C846" s="80"/>
      <c r="D846" s="80"/>
      <c r="E846" s="80"/>
      <c r="F846" s="80"/>
      <c r="G846" s="80"/>
      <c r="H846" s="80"/>
      <c r="I846" s="80"/>
      <c r="J846" s="80"/>
    </row>
    <row r="847" spans="1:10" ht="12.75">
      <c r="A847" s="80"/>
      <c r="B847" s="80"/>
      <c r="C847" s="80"/>
      <c r="D847" s="80"/>
      <c r="E847" s="80"/>
      <c r="F847" s="80"/>
      <c r="G847" s="80"/>
      <c r="H847" s="80"/>
      <c r="I847" s="80"/>
      <c r="J847" s="80"/>
    </row>
    <row r="848" spans="1:10" ht="12.75">
      <c r="A848" s="80"/>
      <c r="B848" s="80"/>
      <c r="C848" s="80"/>
      <c r="D848" s="80"/>
      <c r="E848" s="80"/>
      <c r="F848" s="80"/>
      <c r="G848" s="80"/>
      <c r="H848" s="80"/>
      <c r="I848" s="80"/>
      <c r="J848" s="80"/>
    </row>
    <row r="849" spans="1:10" ht="12.75">
      <c r="A849" s="80"/>
      <c r="B849" s="80"/>
      <c r="C849" s="80"/>
      <c r="D849" s="80"/>
      <c r="E849" s="80"/>
      <c r="F849" s="80"/>
      <c r="G849" s="80"/>
      <c r="H849" s="80"/>
      <c r="I849" s="80"/>
      <c r="J849" s="80"/>
    </row>
    <row r="850" spans="1:10" ht="12.75">
      <c r="A850" s="80"/>
      <c r="B850" s="80"/>
      <c r="C850" s="80"/>
      <c r="D850" s="80"/>
      <c r="E850" s="80"/>
      <c r="F850" s="80"/>
      <c r="G850" s="80"/>
      <c r="H850" s="80"/>
      <c r="I850" s="80"/>
      <c r="J850" s="80"/>
    </row>
    <row r="851" spans="1:10" ht="12.75">
      <c r="A851" s="80"/>
      <c r="B851" s="80"/>
      <c r="C851" s="80"/>
      <c r="D851" s="80"/>
      <c r="E851" s="80"/>
      <c r="F851" s="80"/>
      <c r="G851" s="80"/>
      <c r="H851" s="80"/>
      <c r="I851" s="80"/>
      <c r="J851" s="80"/>
    </row>
    <row r="852" spans="1:10" ht="12.75">
      <c r="A852" s="80"/>
      <c r="B852" s="80"/>
      <c r="C852" s="80"/>
      <c r="D852" s="80"/>
      <c r="E852" s="80"/>
      <c r="F852" s="80"/>
      <c r="G852" s="80"/>
      <c r="H852" s="80"/>
      <c r="I852" s="80"/>
      <c r="J852" s="80"/>
    </row>
    <row r="853" spans="1:10" ht="12.75">
      <c r="A853" s="80"/>
      <c r="B853" s="80"/>
      <c r="C853" s="80"/>
      <c r="D853" s="80"/>
      <c r="E853" s="80"/>
      <c r="F853" s="80"/>
      <c r="G853" s="80"/>
      <c r="H853" s="80"/>
      <c r="I853" s="80"/>
      <c r="J853" s="80"/>
    </row>
    <row r="854" spans="1:10" ht="12.75">
      <c r="A854" s="80"/>
      <c r="B854" s="80"/>
      <c r="C854" s="80"/>
      <c r="D854" s="80"/>
      <c r="E854" s="80"/>
      <c r="F854" s="80"/>
      <c r="G854" s="80"/>
      <c r="H854" s="80"/>
      <c r="I854" s="80"/>
      <c r="J854" s="80"/>
    </row>
    <row r="855" spans="1:10" ht="12.75">
      <c r="A855" s="80"/>
      <c r="B855" s="80"/>
      <c r="C855" s="80"/>
      <c r="D855" s="80"/>
      <c r="E855" s="80"/>
      <c r="F855" s="80"/>
      <c r="G855" s="80"/>
      <c r="H855" s="80"/>
      <c r="I855" s="80"/>
      <c r="J855" s="80"/>
    </row>
    <row r="856" spans="1:10" ht="12.75">
      <c r="A856" s="80"/>
      <c r="B856" s="80"/>
      <c r="C856" s="80"/>
      <c r="D856" s="80"/>
      <c r="E856" s="80"/>
      <c r="F856" s="80"/>
      <c r="G856" s="80"/>
      <c r="H856" s="80"/>
      <c r="I856" s="80"/>
      <c r="J856" s="80"/>
    </row>
    <row r="857" spans="1:10" ht="12.75">
      <c r="A857" s="80"/>
      <c r="B857" s="80"/>
      <c r="C857" s="80"/>
      <c r="D857" s="80"/>
      <c r="E857" s="80"/>
      <c r="F857" s="80"/>
      <c r="G857" s="80"/>
      <c r="H857" s="80"/>
      <c r="I857" s="80"/>
      <c r="J857" s="80"/>
    </row>
    <row r="858" spans="1:10" ht="12.75">
      <c r="A858" s="80"/>
      <c r="B858" s="80"/>
      <c r="C858" s="80"/>
      <c r="D858" s="80"/>
      <c r="E858" s="80"/>
      <c r="F858" s="80"/>
      <c r="G858" s="80"/>
      <c r="H858" s="80"/>
      <c r="I858" s="80"/>
      <c r="J858" s="80"/>
    </row>
    <row r="859" spans="1:10" ht="12.75">
      <c r="A859" s="80"/>
      <c r="B859" s="80"/>
      <c r="C859" s="80"/>
      <c r="D859" s="80"/>
      <c r="E859" s="80"/>
      <c r="F859" s="80"/>
      <c r="G859" s="80"/>
      <c r="H859" s="80"/>
      <c r="I859" s="80"/>
      <c r="J859" s="80"/>
    </row>
    <row r="860" spans="1:10" ht="12.75">
      <c r="A860" s="80"/>
      <c r="B860" s="80"/>
      <c r="C860" s="80"/>
      <c r="D860" s="80"/>
      <c r="E860" s="80"/>
      <c r="F860" s="80"/>
      <c r="G860" s="80"/>
      <c r="H860" s="80"/>
      <c r="I860" s="80"/>
      <c r="J860" s="80"/>
    </row>
    <row r="861" spans="1:10" ht="12.75">
      <c r="A861" s="80"/>
      <c r="B861" s="80"/>
      <c r="C861" s="80"/>
      <c r="D861" s="80"/>
      <c r="E861" s="80"/>
      <c r="F861" s="80"/>
      <c r="G861" s="80"/>
      <c r="H861" s="80"/>
      <c r="I861" s="80"/>
      <c r="J861" s="80"/>
    </row>
    <row r="862" spans="1:10" ht="12.75">
      <c r="A862" s="80"/>
      <c r="B862" s="80"/>
      <c r="C862" s="80"/>
      <c r="D862" s="80"/>
      <c r="E862" s="80"/>
      <c r="F862" s="80"/>
      <c r="G862" s="80"/>
      <c r="H862" s="80"/>
      <c r="I862" s="80"/>
      <c r="J862" s="80"/>
    </row>
    <row r="863" spans="1:10" ht="12.75">
      <c r="A863" s="80"/>
      <c r="B863" s="80"/>
      <c r="C863" s="80"/>
      <c r="D863" s="80"/>
      <c r="E863" s="80"/>
      <c r="F863" s="80"/>
      <c r="G863" s="80"/>
      <c r="H863" s="80"/>
      <c r="I863" s="80"/>
      <c r="J863" s="80"/>
    </row>
    <row r="864" spans="1:10" ht="12.75">
      <c r="A864" s="80"/>
      <c r="B864" s="80"/>
      <c r="C864" s="80"/>
      <c r="D864" s="80"/>
      <c r="E864" s="80"/>
      <c r="F864" s="80"/>
      <c r="G864" s="80"/>
      <c r="H864" s="80"/>
      <c r="I864" s="80"/>
      <c r="J864" s="80"/>
    </row>
    <row r="865" spans="1:10" ht="12.75">
      <c r="A865" s="80"/>
      <c r="B865" s="80"/>
      <c r="C865" s="80"/>
      <c r="D865" s="80"/>
      <c r="E865" s="80"/>
      <c r="F865" s="80"/>
      <c r="G865" s="80"/>
      <c r="H865" s="80"/>
      <c r="I865" s="80"/>
      <c r="J865" s="80"/>
    </row>
    <row r="866" spans="1:10" ht="12.75">
      <c r="A866" s="80"/>
      <c r="B866" s="80"/>
      <c r="C866" s="80"/>
      <c r="D866" s="80"/>
      <c r="E866" s="80"/>
      <c r="F866" s="80"/>
      <c r="G866" s="80"/>
      <c r="H866" s="80"/>
      <c r="I866" s="80"/>
      <c r="J866" s="80"/>
    </row>
    <row r="867" spans="1:10" ht="12.75">
      <c r="A867" s="80"/>
      <c r="B867" s="80"/>
      <c r="C867" s="80"/>
      <c r="D867" s="80"/>
      <c r="E867" s="80"/>
      <c r="F867" s="80"/>
      <c r="G867" s="80"/>
      <c r="H867" s="80"/>
      <c r="I867" s="80"/>
      <c r="J867" s="80"/>
    </row>
    <row r="868" spans="1:10" ht="12.75">
      <c r="A868" s="80"/>
      <c r="B868" s="80"/>
      <c r="C868" s="80"/>
      <c r="D868" s="80"/>
      <c r="E868" s="80"/>
      <c r="F868" s="80"/>
      <c r="G868" s="80"/>
      <c r="H868" s="80"/>
      <c r="I868" s="80"/>
      <c r="J868" s="80"/>
    </row>
    <row r="869" spans="1:10" ht="12.75">
      <c r="A869" s="80"/>
      <c r="B869" s="80"/>
      <c r="C869" s="80"/>
      <c r="D869" s="80"/>
      <c r="E869" s="80"/>
      <c r="F869" s="80"/>
      <c r="G869" s="80"/>
      <c r="H869" s="80"/>
      <c r="I869" s="80"/>
      <c r="J869" s="80"/>
    </row>
    <row r="870" spans="1:10" ht="12.75">
      <c r="A870" s="80"/>
      <c r="B870" s="80"/>
      <c r="C870" s="80"/>
      <c r="D870" s="80"/>
      <c r="E870" s="80"/>
      <c r="F870" s="80"/>
      <c r="G870" s="80"/>
      <c r="H870" s="80"/>
      <c r="I870" s="80"/>
      <c r="J870" s="80"/>
    </row>
    <row r="871" spans="1:10" ht="12.75">
      <c r="A871" s="80"/>
      <c r="B871" s="80"/>
      <c r="C871" s="80"/>
      <c r="D871" s="80"/>
      <c r="E871" s="80"/>
      <c r="F871" s="80"/>
      <c r="G871" s="80"/>
      <c r="H871" s="80"/>
      <c r="I871" s="80"/>
      <c r="J871" s="80"/>
    </row>
    <row r="872" spans="1:10" ht="12.75">
      <c r="A872" s="80"/>
      <c r="B872" s="80"/>
      <c r="C872" s="80"/>
      <c r="D872" s="80"/>
      <c r="E872" s="80"/>
      <c r="F872" s="80"/>
      <c r="G872" s="80"/>
      <c r="H872" s="80"/>
      <c r="I872" s="80"/>
      <c r="J872" s="80"/>
    </row>
    <row r="873" spans="1:10" ht="12.75">
      <c r="A873" s="80"/>
      <c r="B873" s="80"/>
      <c r="C873" s="80"/>
      <c r="D873" s="80"/>
      <c r="E873" s="80"/>
      <c r="F873" s="80"/>
      <c r="G873" s="80"/>
      <c r="H873" s="80"/>
      <c r="I873" s="80"/>
      <c r="J873" s="80"/>
    </row>
    <row r="874" spans="1:10" ht="12.75">
      <c r="A874" s="80"/>
      <c r="B874" s="80"/>
      <c r="C874" s="80"/>
      <c r="D874" s="80"/>
      <c r="E874" s="80"/>
      <c r="F874" s="80"/>
      <c r="G874" s="80"/>
      <c r="H874" s="80"/>
      <c r="I874" s="80"/>
      <c r="J874" s="80"/>
    </row>
    <row r="875" spans="1:10" ht="12.75">
      <c r="A875" s="80"/>
      <c r="B875" s="80"/>
      <c r="C875" s="80"/>
      <c r="D875" s="80"/>
      <c r="E875" s="80"/>
      <c r="F875" s="80"/>
      <c r="G875" s="80"/>
      <c r="H875" s="80"/>
      <c r="I875" s="80"/>
      <c r="J875" s="80"/>
    </row>
    <row r="876" spans="1:10" ht="12.75">
      <c r="A876" s="80"/>
      <c r="B876" s="80"/>
      <c r="C876" s="80"/>
      <c r="D876" s="80"/>
      <c r="E876" s="80"/>
      <c r="F876" s="80"/>
      <c r="G876" s="80"/>
      <c r="H876" s="80"/>
      <c r="I876" s="80"/>
      <c r="J876" s="80"/>
    </row>
    <row r="877" spans="1:10" ht="12.75">
      <c r="A877" s="80"/>
      <c r="B877" s="80"/>
      <c r="C877" s="80"/>
      <c r="D877" s="80"/>
      <c r="E877" s="80"/>
      <c r="F877" s="80"/>
      <c r="G877" s="80"/>
      <c r="H877" s="80"/>
      <c r="I877" s="80"/>
      <c r="J877" s="80"/>
    </row>
    <row r="878" spans="1:10" ht="12.75">
      <c r="A878" s="80"/>
      <c r="B878" s="80"/>
      <c r="C878" s="80"/>
      <c r="D878" s="80"/>
      <c r="E878" s="80"/>
      <c r="F878" s="80"/>
      <c r="G878" s="80"/>
      <c r="H878" s="80"/>
      <c r="I878" s="80"/>
      <c r="J878" s="80"/>
    </row>
    <row r="879" spans="1:10" ht="12.75">
      <c r="A879" s="80"/>
      <c r="B879" s="80"/>
      <c r="C879" s="80"/>
      <c r="D879" s="80"/>
      <c r="E879" s="80"/>
      <c r="F879" s="80"/>
      <c r="G879" s="80"/>
      <c r="H879" s="80"/>
      <c r="I879" s="80"/>
      <c r="J879" s="80"/>
    </row>
    <row r="880" spans="1:10" ht="12.75">
      <c r="A880" s="80"/>
      <c r="B880" s="80"/>
      <c r="C880" s="80"/>
      <c r="D880" s="80"/>
      <c r="E880" s="80"/>
      <c r="F880" s="80"/>
      <c r="G880" s="80"/>
      <c r="H880" s="80"/>
      <c r="I880" s="80"/>
      <c r="J880" s="80"/>
    </row>
    <row r="881" spans="1:10" ht="12.75">
      <c r="A881" s="80"/>
      <c r="B881" s="80"/>
      <c r="C881" s="80"/>
      <c r="D881" s="80"/>
      <c r="E881" s="80"/>
      <c r="F881" s="80"/>
      <c r="G881" s="80"/>
      <c r="H881" s="80"/>
      <c r="I881" s="80"/>
      <c r="J881" s="80"/>
    </row>
    <row r="882" spans="1:10" ht="12.75">
      <c r="A882" s="80"/>
      <c r="B882" s="80"/>
      <c r="C882" s="80"/>
      <c r="D882" s="80"/>
      <c r="E882" s="80"/>
      <c r="F882" s="80"/>
      <c r="G882" s="80"/>
      <c r="H882" s="80"/>
      <c r="I882" s="80"/>
      <c r="J882" s="80"/>
    </row>
    <row r="883" spans="1:10" ht="12.75">
      <c r="A883" s="80"/>
      <c r="B883" s="80"/>
      <c r="C883" s="80"/>
      <c r="D883" s="80"/>
      <c r="E883" s="80"/>
      <c r="F883" s="80"/>
      <c r="G883" s="80"/>
      <c r="H883" s="80"/>
      <c r="I883" s="80"/>
      <c r="J883" s="80"/>
    </row>
    <row r="884" spans="1:10" ht="12.75">
      <c r="A884" s="80"/>
      <c r="B884" s="80"/>
      <c r="C884" s="80"/>
      <c r="D884" s="80"/>
      <c r="E884" s="80"/>
      <c r="F884" s="80"/>
      <c r="G884" s="80"/>
      <c r="H884" s="80"/>
      <c r="I884" s="80"/>
      <c r="J884" s="80"/>
    </row>
    <row r="885" spans="1:10" ht="12.75">
      <c r="A885" s="80"/>
      <c r="B885" s="80"/>
      <c r="C885" s="80"/>
      <c r="D885" s="80"/>
      <c r="E885" s="80"/>
      <c r="F885" s="80"/>
      <c r="G885" s="80"/>
      <c r="H885" s="80"/>
      <c r="I885" s="80"/>
      <c r="J885" s="80"/>
    </row>
    <row r="886" spans="1:10" ht="12.75">
      <c r="A886" s="80"/>
      <c r="B886" s="80"/>
      <c r="C886" s="80"/>
      <c r="D886" s="80"/>
      <c r="E886" s="80"/>
      <c r="F886" s="80"/>
      <c r="G886" s="80"/>
      <c r="H886" s="80"/>
      <c r="I886" s="80"/>
      <c r="J886" s="80"/>
    </row>
    <row r="887" spans="1:10" ht="12.75">
      <c r="A887" s="80"/>
      <c r="B887" s="80"/>
      <c r="C887" s="80"/>
      <c r="D887" s="80"/>
      <c r="E887" s="80"/>
      <c r="F887" s="80"/>
      <c r="G887" s="80"/>
      <c r="H887" s="80"/>
      <c r="I887" s="80"/>
      <c r="J887" s="80"/>
    </row>
    <row r="888" spans="1:10" ht="12.75">
      <c r="A888" s="80"/>
      <c r="B888" s="80"/>
      <c r="C888" s="80"/>
      <c r="D888" s="80"/>
      <c r="E888" s="80"/>
      <c r="F888" s="80"/>
      <c r="G888" s="80"/>
      <c r="H888" s="80"/>
      <c r="I888" s="80"/>
      <c r="J888" s="80"/>
    </row>
    <row r="889" spans="1:10" ht="12.75">
      <c r="A889" s="80"/>
      <c r="B889" s="80"/>
      <c r="C889" s="80"/>
      <c r="D889" s="80"/>
      <c r="E889" s="80"/>
      <c r="F889" s="80"/>
      <c r="G889" s="80"/>
      <c r="H889" s="80"/>
      <c r="I889" s="80"/>
      <c r="J889" s="80"/>
    </row>
    <row r="890" spans="1:10" ht="12.75">
      <c r="A890" s="80"/>
      <c r="B890" s="80"/>
      <c r="C890" s="80"/>
      <c r="D890" s="80"/>
      <c r="E890" s="80"/>
      <c r="F890" s="80"/>
      <c r="G890" s="80"/>
      <c r="H890" s="80"/>
      <c r="I890" s="80"/>
      <c r="J890" s="80"/>
    </row>
    <row r="891" spans="1:10" ht="12.75">
      <c r="A891" s="80"/>
      <c r="B891" s="80"/>
      <c r="C891" s="80"/>
      <c r="D891" s="80"/>
      <c r="E891" s="80"/>
      <c r="F891" s="80"/>
      <c r="G891" s="80"/>
      <c r="H891" s="80"/>
      <c r="I891" s="80"/>
      <c r="J891" s="80"/>
    </row>
    <row r="892" spans="1:10" ht="12.75">
      <c r="A892" s="80"/>
      <c r="B892" s="80"/>
      <c r="C892" s="80"/>
      <c r="D892" s="80"/>
      <c r="E892" s="80"/>
      <c r="F892" s="80"/>
      <c r="G892" s="80"/>
      <c r="H892" s="80"/>
      <c r="I892" s="80"/>
      <c r="J892" s="80"/>
    </row>
    <row r="893" spans="1:10" ht="12.75">
      <c r="A893" s="80"/>
      <c r="B893" s="80"/>
      <c r="C893" s="80"/>
      <c r="D893" s="80"/>
      <c r="E893" s="80"/>
      <c r="F893" s="80"/>
      <c r="G893" s="80"/>
      <c r="H893" s="80"/>
      <c r="I893" s="80"/>
      <c r="J893" s="80"/>
    </row>
    <row r="894" spans="1:10" ht="12.75">
      <c r="A894" s="80"/>
      <c r="B894" s="80"/>
      <c r="C894" s="80"/>
      <c r="D894" s="80"/>
      <c r="E894" s="80"/>
      <c r="F894" s="80"/>
      <c r="G894" s="80"/>
      <c r="H894" s="80"/>
      <c r="I894" s="80"/>
      <c r="J894" s="80"/>
    </row>
    <row r="895" spans="1:10" ht="12.75">
      <c r="A895" s="80"/>
      <c r="B895" s="80"/>
      <c r="C895" s="80"/>
      <c r="D895" s="80"/>
      <c r="E895" s="80"/>
      <c r="F895" s="80"/>
      <c r="G895" s="80"/>
      <c r="H895" s="80"/>
      <c r="I895" s="80"/>
      <c r="J895" s="80"/>
    </row>
    <row r="896" spans="1:10" ht="12.75">
      <c r="A896" s="80"/>
      <c r="B896" s="80"/>
      <c r="C896" s="80"/>
      <c r="D896" s="80"/>
      <c r="E896" s="80"/>
      <c r="F896" s="80"/>
      <c r="G896" s="80"/>
      <c r="H896" s="80"/>
      <c r="I896" s="80"/>
      <c r="J896" s="80"/>
    </row>
    <row r="897" spans="1:10" ht="12.75">
      <c r="A897" s="80"/>
      <c r="B897" s="80"/>
      <c r="C897" s="80"/>
      <c r="D897" s="80"/>
      <c r="E897" s="80"/>
      <c r="F897" s="80"/>
      <c r="G897" s="80"/>
      <c r="H897" s="80"/>
      <c r="I897" s="80"/>
      <c r="J897" s="80"/>
    </row>
    <row r="898" spans="1:10" ht="12.75">
      <c r="A898" s="80"/>
      <c r="B898" s="80"/>
      <c r="C898" s="80"/>
      <c r="D898" s="80"/>
      <c r="E898" s="80"/>
      <c r="F898" s="80"/>
      <c r="G898" s="80"/>
      <c r="H898" s="80"/>
      <c r="I898" s="80"/>
      <c r="J898" s="80"/>
    </row>
    <row r="899" spans="1:10" ht="12.75">
      <c r="A899" s="80"/>
      <c r="B899" s="80"/>
      <c r="C899" s="80"/>
      <c r="D899" s="80"/>
      <c r="E899" s="80"/>
      <c r="F899" s="80"/>
      <c r="G899" s="80"/>
      <c r="H899" s="80"/>
      <c r="I899" s="80"/>
      <c r="J899" s="80"/>
    </row>
    <row r="900" spans="1:10" ht="12.75">
      <c r="A900" s="80"/>
      <c r="B900" s="80"/>
      <c r="C900" s="80"/>
      <c r="D900" s="80"/>
      <c r="E900" s="80"/>
      <c r="F900" s="80"/>
      <c r="G900" s="80"/>
      <c r="H900" s="80"/>
      <c r="I900" s="80"/>
      <c r="J900" s="80"/>
    </row>
    <row r="901" spans="1:10" ht="12.75">
      <c r="A901" s="80"/>
      <c r="B901" s="80"/>
      <c r="C901" s="80"/>
      <c r="D901" s="80"/>
      <c r="E901" s="80"/>
      <c r="F901" s="80"/>
      <c r="G901" s="80"/>
      <c r="H901" s="80"/>
      <c r="I901" s="80"/>
      <c r="J901" s="80"/>
    </row>
    <row r="902" spans="1:10" ht="12.75">
      <c r="A902" s="80"/>
      <c r="B902" s="80"/>
      <c r="C902" s="80"/>
      <c r="D902" s="80"/>
      <c r="E902" s="80"/>
      <c r="F902" s="80"/>
      <c r="G902" s="80"/>
      <c r="H902" s="80"/>
      <c r="I902" s="80"/>
      <c r="J902" s="80"/>
    </row>
    <row r="903" spans="1:10" ht="12.75">
      <c r="A903" s="80"/>
      <c r="B903" s="80"/>
      <c r="C903" s="80"/>
      <c r="D903" s="80"/>
      <c r="E903" s="80"/>
      <c r="F903" s="80"/>
      <c r="G903" s="80"/>
      <c r="H903" s="80"/>
      <c r="I903" s="80"/>
      <c r="J903" s="80"/>
    </row>
    <row r="904" spans="1:10" ht="12.75">
      <c r="A904" s="80"/>
      <c r="B904" s="80"/>
      <c r="C904" s="80"/>
      <c r="D904" s="80"/>
      <c r="E904" s="80"/>
      <c r="F904" s="80"/>
      <c r="G904" s="80"/>
      <c r="H904" s="80"/>
      <c r="I904" s="80"/>
      <c r="J904" s="80"/>
    </row>
    <row r="905" spans="1:10" ht="12.75">
      <c r="A905" s="80"/>
      <c r="B905" s="80"/>
      <c r="C905" s="80"/>
      <c r="D905" s="80"/>
      <c r="E905" s="80"/>
      <c r="F905" s="80"/>
      <c r="G905" s="80"/>
      <c r="H905" s="80"/>
      <c r="I905" s="80"/>
      <c r="J905" s="80"/>
    </row>
    <row r="906" spans="1:10" ht="12.75">
      <c r="A906" s="80"/>
      <c r="B906" s="80"/>
      <c r="C906" s="80"/>
      <c r="D906" s="80"/>
      <c r="E906" s="80"/>
      <c r="F906" s="80"/>
      <c r="G906" s="80"/>
      <c r="H906" s="80"/>
      <c r="I906" s="80"/>
      <c r="J906" s="80"/>
    </row>
    <row r="907" spans="1:10" ht="12.75">
      <c r="A907" s="80"/>
      <c r="B907" s="80"/>
      <c r="C907" s="80"/>
      <c r="D907" s="80"/>
      <c r="E907" s="80"/>
      <c r="F907" s="80"/>
      <c r="G907" s="80"/>
      <c r="H907" s="80"/>
      <c r="I907" s="80"/>
      <c r="J907" s="80"/>
    </row>
    <row r="908" spans="1:10" ht="12.75">
      <c r="A908" s="80"/>
      <c r="B908" s="80"/>
      <c r="C908" s="80"/>
      <c r="D908" s="80"/>
      <c r="E908" s="80"/>
      <c r="F908" s="80"/>
      <c r="G908" s="80"/>
      <c r="H908" s="80"/>
      <c r="I908" s="80"/>
      <c r="J908" s="80"/>
    </row>
    <row r="909" spans="1:10" ht="12.75">
      <c r="A909" s="80"/>
      <c r="B909" s="80"/>
      <c r="C909" s="80"/>
      <c r="D909" s="80"/>
      <c r="E909" s="80"/>
      <c r="F909" s="80"/>
      <c r="G909" s="80"/>
      <c r="H909" s="80"/>
      <c r="I909" s="80"/>
      <c r="J909" s="80"/>
    </row>
    <row r="910" spans="1:10" ht="12.75">
      <c r="A910" s="80"/>
      <c r="B910" s="80"/>
      <c r="C910" s="80"/>
      <c r="D910" s="80"/>
      <c r="E910" s="80"/>
      <c r="F910" s="80"/>
      <c r="G910" s="80"/>
      <c r="H910" s="80"/>
      <c r="I910" s="80"/>
      <c r="J910" s="80"/>
    </row>
    <row r="911" spans="1:10" ht="12.75">
      <c r="A911" s="80"/>
      <c r="B911" s="80"/>
      <c r="C911" s="80"/>
      <c r="D911" s="80"/>
      <c r="E911" s="80"/>
      <c r="F911" s="80"/>
      <c r="G911" s="80"/>
      <c r="H911" s="80"/>
      <c r="I911" s="80"/>
      <c r="J911" s="80"/>
    </row>
    <row r="912" spans="1:10" ht="12.75">
      <c r="A912" s="80"/>
      <c r="B912" s="80"/>
      <c r="C912" s="80"/>
      <c r="D912" s="80"/>
      <c r="E912" s="80"/>
      <c r="F912" s="80"/>
      <c r="G912" s="80"/>
      <c r="H912" s="80"/>
      <c r="I912" s="80"/>
      <c r="J912" s="80"/>
    </row>
    <row r="913" spans="1:10" ht="12.75">
      <c r="A913" s="80"/>
      <c r="B913" s="80"/>
      <c r="C913" s="80"/>
      <c r="D913" s="80"/>
      <c r="E913" s="80"/>
      <c r="F913" s="80"/>
      <c r="G913" s="80"/>
      <c r="H913" s="80"/>
      <c r="I913" s="80"/>
      <c r="J913" s="80"/>
    </row>
    <row r="914" spans="1:10" ht="12.75">
      <c r="A914" s="80"/>
      <c r="B914" s="80"/>
      <c r="C914" s="80"/>
      <c r="D914" s="80"/>
      <c r="E914" s="80"/>
      <c r="F914" s="80"/>
      <c r="G914" s="80"/>
      <c r="H914" s="80"/>
      <c r="I914" s="80"/>
      <c r="J914" s="80"/>
    </row>
  </sheetData>
  <sheetProtection password="CA67" sheet="1" objects="1" scenarios="1" formatCells="0" formatRows="0"/>
  <mergeCells count="73">
    <mergeCell ref="A65:I66"/>
    <mergeCell ref="H29:I32"/>
    <mergeCell ref="C32:D32"/>
    <mergeCell ref="C30:D30"/>
    <mergeCell ref="A53:B53"/>
    <mergeCell ref="F55:G55"/>
    <mergeCell ref="A52:B52"/>
    <mergeCell ref="A51:B51"/>
    <mergeCell ref="E51:F51"/>
    <mergeCell ref="F56:G56"/>
    <mergeCell ref="I1:I2"/>
    <mergeCell ref="C26:D26"/>
    <mergeCell ref="C25:D25"/>
    <mergeCell ref="H1:H2"/>
    <mergeCell ref="C24:D24"/>
    <mergeCell ref="E10:F10"/>
    <mergeCell ref="E11:F11"/>
    <mergeCell ref="B18:C18"/>
    <mergeCell ref="D18:G18"/>
    <mergeCell ref="B9:G9"/>
    <mergeCell ref="F57:G57"/>
    <mergeCell ref="E61:F61"/>
    <mergeCell ref="E52:F52"/>
    <mergeCell ref="E49:F49"/>
    <mergeCell ref="E53:F53"/>
    <mergeCell ref="E50:F50"/>
    <mergeCell ref="O10:P10"/>
    <mergeCell ref="B11:D11"/>
    <mergeCell ref="H11:I15"/>
    <mergeCell ref="O14:P14"/>
    <mergeCell ref="O15:P15"/>
    <mergeCell ref="B15:D15"/>
    <mergeCell ref="B14:D14"/>
    <mergeCell ref="E12:F12"/>
    <mergeCell ref="E48:F48"/>
    <mergeCell ref="A50:B50"/>
    <mergeCell ref="O12:P12"/>
    <mergeCell ref="O11:P11"/>
    <mergeCell ref="E13:F13"/>
    <mergeCell ref="E14:F14"/>
    <mergeCell ref="O13:P13"/>
    <mergeCell ref="C22:D22"/>
    <mergeCell ref="B19:C19"/>
    <mergeCell ref="E15:F15"/>
    <mergeCell ref="Y17:Z17"/>
    <mergeCell ref="B17:G17"/>
    <mergeCell ref="B1:G2"/>
    <mergeCell ref="B3:G3"/>
    <mergeCell ref="B4:G4"/>
    <mergeCell ref="B12:D12"/>
    <mergeCell ref="B10:D10"/>
    <mergeCell ref="H10:I10"/>
    <mergeCell ref="O9:P9"/>
    <mergeCell ref="A5:I5"/>
    <mergeCell ref="Y44:AB47"/>
    <mergeCell ref="C23:D23"/>
    <mergeCell ref="C33:D33"/>
    <mergeCell ref="C36:D36"/>
    <mergeCell ref="C35:D35"/>
    <mergeCell ref="H23:I28"/>
    <mergeCell ref="C34:D34"/>
    <mergeCell ref="C28:D28"/>
    <mergeCell ref="C31:D31"/>
    <mergeCell ref="C27:D27"/>
    <mergeCell ref="B20:C20"/>
    <mergeCell ref="H18:I21"/>
    <mergeCell ref="B13:D13"/>
    <mergeCell ref="D41:E41"/>
    <mergeCell ref="D37:E37"/>
    <mergeCell ref="C29:D29"/>
    <mergeCell ref="H35:I37"/>
    <mergeCell ref="B39:E39"/>
    <mergeCell ref="B40:E40"/>
  </mergeCells>
  <dataValidations count="7">
    <dataValidation type="list" allowBlank="1" showInputMessage="1" showErrorMessage="1" sqref="E54:F54">
      <formula1>$R$11:$R$12</formula1>
    </dataValidation>
    <dataValidation type="list" allowBlank="1" showInputMessage="1" showErrorMessage="1" sqref="E50:F51">
      <formula1>$R$54:$R$56</formula1>
    </dataValidation>
    <dataValidation type="list" allowBlank="1" showInputMessage="1" showErrorMessage="1" sqref="E52:F53">
      <formula1>$R$58:$R$59</formula1>
    </dataValidation>
    <dataValidation type="list" allowBlank="1" showInputMessage="1" showErrorMessage="1" sqref="C23:D36">
      <formula1>$O$9:$O$15</formula1>
    </dataValidation>
    <dataValidation type="list" allowBlank="1" showInputMessage="1" showErrorMessage="1" sqref="B23:B36">
      <formula1>$O$3:$O$7</formula1>
    </dataValidation>
    <dataValidation type="list" allowBlank="1" showInputMessage="1" showErrorMessage="1" sqref="D19">
      <formula1>$O$4:$O$7</formula1>
    </dataValidation>
    <dataValidation type="list" showInputMessage="1" showErrorMessage="1" sqref="D18:G18">
      <formula1>$M$17:$M$21</formula1>
    </dataValidation>
  </dataValidations>
  <printOptions/>
  <pageMargins left="0.25" right="0.25" top="0.25" bottom="0.5" header="0.25" footer="0.25"/>
  <pageSetup fitToHeight="1" fitToWidth="1" horizontalDpi="600" verticalDpi="600" orientation="portrait" r:id="rId3"/>
  <headerFooter alignWithMargins="0">
    <oddFooter>&amp;L&amp;8LID-EZ Wilmington Area Model
Version 2.0&amp;R&amp;8&amp;D  &amp;T
Page &amp;P of &amp;N</oddFooter>
  </headerFooter>
  <rowBreaks count="1" manualBreakCount="1">
    <brk id="47" max="8" man="1"/>
  </rowBreaks>
  <drawing r:id="rId2"/>
  <legacy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DZ825"/>
  <sheetViews>
    <sheetView showGridLines="0" showRowColHeaders="0" showZeros="0" tabSelected="1" zoomScalePageLayoutView="0" workbookViewId="0" topLeftCell="A1">
      <selection activeCell="B29" sqref="B29:K29"/>
    </sheetView>
  </sheetViews>
  <sheetFormatPr defaultColWidth="9.140625" defaultRowHeight="12.75"/>
  <cols>
    <col min="1" max="1" width="3.28125" style="81" customWidth="1"/>
    <col min="2" max="2" width="16.00390625" style="81" customWidth="1"/>
    <col min="3" max="3" width="11.140625" style="81" customWidth="1"/>
    <col min="4" max="4" width="24.7109375" style="81" customWidth="1"/>
    <col min="5" max="5" width="16.00390625" style="81" customWidth="1"/>
    <col min="6" max="6" width="7.7109375" style="81" customWidth="1"/>
    <col min="7" max="7" width="5.00390625" style="81" customWidth="1"/>
    <col min="8" max="8" width="10.28125" style="81" customWidth="1"/>
    <col min="9" max="9" width="12.28125" style="81" customWidth="1"/>
    <col min="10" max="10" width="11.421875" style="81" customWidth="1"/>
    <col min="11" max="11" width="14.8515625" style="81" customWidth="1"/>
    <col min="12" max="12" width="19.28125" style="80" hidden="1" customWidth="1"/>
    <col min="13" max="13" width="9.421875" style="80" hidden="1" customWidth="1"/>
    <col min="14" max="14" width="12.140625" style="80" hidden="1" customWidth="1"/>
    <col min="15" max="15" width="15.00390625" style="80" hidden="1" customWidth="1"/>
    <col min="16" max="19" width="11.28125" style="80" hidden="1" customWidth="1"/>
    <col min="20" max="20" width="14.140625" style="80" hidden="1" customWidth="1"/>
    <col min="21" max="23" width="11.28125" style="80" hidden="1" customWidth="1"/>
    <col min="24" max="24" width="9.140625" style="80" hidden="1" customWidth="1"/>
    <col min="25" max="26" width="9.140625" style="80" customWidth="1"/>
    <col min="27" max="27" width="11.57421875" style="80" customWidth="1"/>
    <col min="28" max="28" width="10.140625" style="80" customWidth="1"/>
    <col min="29" max="86" width="9.140625" style="80" customWidth="1"/>
    <col min="87" max="130" width="9.140625" style="171" customWidth="1"/>
    <col min="131" max="16384" width="9.140625" style="81" customWidth="1"/>
  </cols>
  <sheetData>
    <row r="1" spans="1:13" ht="13.5" customHeight="1">
      <c r="A1" s="934"/>
      <c r="B1" s="935"/>
      <c r="C1" s="945" t="s">
        <v>2</v>
      </c>
      <c r="D1" s="946"/>
      <c r="E1" s="946"/>
      <c r="F1" s="946"/>
      <c r="G1" s="946"/>
      <c r="H1" s="946"/>
      <c r="I1" s="947"/>
      <c r="J1" s="626" t="s">
        <v>165</v>
      </c>
      <c r="K1" s="624">
        <f>Summary!I1:I2</f>
        <v>0</v>
      </c>
      <c r="L1" s="97"/>
      <c r="M1" s="97"/>
    </row>
    <row r="2" spans="1:13" ht="13.5" customHeight="1">
      <c r="A2" s="936"/>
      <c r="B2" s="937"/>
      <c r="C2" s="948"/>
      <c r="D2" s="949"/>
      <c r="E2" s="949"/>
      <c r="F2" s="949"/>
      <c r="G2" s="949"/>
      <c r="H2" s="949"/>
      <c r="I2" s="950"/>
      <c r="J2" s="627"/>
      <c r="K2" s="625"/>
      <c r="L2" s="97"/>
      <c r="M2" s="97"/>
    </row>
    <row r="3" spans="1:13" ht="25.5" customHeight="1">
      <c r="A3" s="936"/>
      <c r="B3" s="937"/>
      <c r="C3" s="954"/>
      <c r="D3" s="955"/>
      <c r="E3" s="955"/>
      <c r="F3" s="955"/>
      <c r="G3" s="955"/>
      <c r="H3" s="955"/>
      <c r="I3" s="956"/>
      <c r="J3" s="96" t="s">
        <v>0</v>
      </c>
      <c r="K3" s="307">
        <f>Summary!I3</f>
        <v>0</v>
      </c>
      <c r="L3" s="98"/>
      <c r="M3" s="98"/>
    </row>
    <row r="4" spans="1:13" ht="24.75" customHeight="1" thickBot="1">
      <c r="A4" s="936"/>
      <c r="B4" s="937"/>
      <c r="C4" s="951">
        <f>Summary!B4:G4</f>
        <v>0</v>
      </c>
      <c r="D4" s="952"/>
      <c r="E4" s="952"/>
      <c r="F4" s="952"/>
      <c r="G4" s="952"/>
      <c r="H4" s="952"/>
      <c r="I4" s="953"/>
      <c r="J4" s="96" t="s">
        <v>1</v>
      </c>
      <c r="K4" s="360">
        <f>Summary!I4</f>
        <v>0</v>
      </c>
      <c r="L4" s="99"/>
      <c r="M4" s="99"/>
    </row>
    <row r="5" spans="1:29" ht="24.75" customHeight="1" thickBot="1" thickTop="1">
      <c r="A5" s="938" t="s">
        <v>105</v>
      </c>
      <c r="B5" s="939"/>
      <c r="C5" s="939"/>
      <c r="D5" s="939"/>
      <c r="E5" s="939"/>
      <c r="F5" s="939"/>
      <c r="G5" s="939"/>
      <c r="H5" s="939"/>
      <c r="I5" s="939"/>
      <c r="J5" s="939"/>
      <c r="K5" s="940"/>
      <c r="L5" s="100"/>
      <c r="M5" s="485"/>
      <c r="X5" s="85"/>
      <c r="Y5" s="85"/>
      <c r="Z5" s="85"/>
      <c r="AA5" s="85"/>
      <c r="AB5" s="85"/>
      <c r="AC5" s="85"/>
    </row>
    <row r="6" spans="1:29" ht="38.25" customHeight="1" thickBot="1" thickTop="1">
      <c r="A6" s="941" t="s">
        <v>445</v>
      </c>
      <c r="B6" s="942"/>
      <c r="C6" s="942"/>
      <c r="D6" s="942"/>
      <c r="E6" s="942"/>
      <c r="F6" s="942"/>
      <c r="G6" s="942"/>
      <c r="H6" s="942"/>
      <c r="I6" s="942"/>
      <c r="J6" s="942"/>
      <c r="K6" s="943"/>
      <c r="L6" s="85"/>
      <c r="M6" s="99" t="s">
        <v>372</v>
      </c>
      <c r="N6" s="109">
        <f>ROUND('Post-Development'!R46,2)</f>
        <v>0</v>
      </c>
      <c r="O6" s="80" t="s">
        <v>373</v>
      </c>
      <c r="X6" s="85"/>
      <c r="Y6" s="85"/>
      <c r="Z6" s="85"/>
      <c r="AA6" s="101"/>
      <c r="AB6" s="102"/>
      <c r="AC6" s="85"/>
    </row>
    <row r="7" spans="1:29" ht="29.25" customHeight="1">
      <c r="A7" s="515" t="s">
        <v>382</v>
      </c>
      <c r="B7" s="516" t="s">
        <v>300</v>
      </c>
      <c r="C7" s="516" t="s">
        <v>299</v>
      </c>
      <c r="D7" s="516" t="s">
        <v>79</v>
      </c>
      <c r="E7" s="517" t="s">
        <v>82</v>
      </c>
      <c r="F7" s="944" t="s">
        <v>367</v>
      </c>
      <c r="G7" s="944"/>
      <c r="H7" s="487" t="s">
        <v>383</v>
      </c>
      <c r="I7" s="517" t="s">
        <v>393</v>
      </c>
      <c r="J7" s="487" t="s">
        <v>429</v>
      </c>
      <c r="K7" s="514" t="s">
        <v>430</v>
      </c>
      <c r="L7" s="507"/>
      <c r="M7" s="484" t="s">
        <v>371</v>
      </c>
      <c r="N7" s="80" t="s">
        <v>374</v>
      </c>
      <c r="O7" s="80" t="s">
        <v>427</v>
      </c>
      <c r="P7" s="80" t="s">
        <v>426</v>
      </c>
      <c r="Q7" s="80" t="s">
        <v>397</v>
      </c>
      <c r="R7" s="80" t="s">
        <v>446</v>
      </c>
      <c r="S7" s="80" t="s">
        <v>379</v>
      </c>
      <c r="T7" s="80" t="s">
        <v>447</v>
      </c>
      <c r="X7" s="85"/>
      <c r="Y7" s="85"/>
      <c r="Z7" s="85"/>
      <c r="AA7" s="101"/>
      <c r="AB7" s="102"/>
      <c r="AC7" s="85"/>
    </row>
    <row r="8" spans="1:29" ht="15" customHeight="1">
      <c r="A8" s="518">
        <v>1</v>
      </c>
      <c r="B8" s="480"/>
      <c r="C8" s="74"/>
      <c r="D8" s="284"/>
      <c r="E8" s="397">
        <v>0</v>
      </c>
      <c r="F8" s="823">
        <v>0</v>
      </c>
      <c r="G8" s="825"/>
      <c r="H8" s="74"/>
      <c r="I8" s="570">
        <f>IF(F8&gt;0,M8,"")</f>
      </c>
      <c r="J8" s="538">
        <v>0</v>
      </c>
      <c r="K8" s="547">
        <v>0</v>
      </c>
      <c r="L8" s="548"/>
      <c r="M8" s="478" t="e">
        <f>F8/$N$6</f>
        <v>#DIV/0!</v>
      </c>
      <c r="N8" s="109" t="e">
        <f>IF(D8="Sand Filter",ROUND(0.75*M8*$E$34,0),ROUND(M8*$E$34,0))</f>
        <v>#DIV/0!</v>
      </c>
      <c r="O8" s="109" t="e">
        <f>IF(D8="sand filter",ROUND(0.75*M8*$E$37,0),ROUND(M8*$E$37,0))</f>
        <v>#DIV/0!</v>
      </c>
      <c r="P8" s="109" t="e">
        <f>IF(Summary!$E$18="Delta 1-Yr Storm",'Storage Devices'!O8,IF(Summary!E19="Low Density",0,'Storage Devices'!N8))</f>
        <v>#DIV/0!</v>
      </c>
      <c r="Q8" s="80">
        <f aca="true" t="shared" si="0" ref="Q8:Q27">IF(D8=0,0,VLOOKUP(D8,Devices,2))</f>
        <v>0</v>
      </c>
      <c r="R8" s="80">
        <f aca="true" t="shared" si="1" ref="R8:R27">IF(D8=0,0,VLOOKUP(D8,Devices,3))</f>
        <v>0</v>
      </c>
      <c r="S8" s="109">
        <f aca="true" t="shared" si="2" ref="S8:S27">IF(D8=0,0,VLOOKUP(D8,Devices,4))</f>
        <v>0</v>
      </c>
      <c r="T8" s="80">
        <f>IF(E8="",0,IF(AND(R8="Y",Q8="Y"),IF(D8="sand filter",MIN(J8/0.75*1.1,E8/0.75),MIN(J8*1.1,E8)),0))</f>
        <v>0</v>
      </c>
      <c r="X8" s="85"/>
      <c r="Y8" s="928" t="s">
        <v>366</v>
      </c>
      <c r="Z8" s="928"/>
      <c r="AA8" s="928"/>
      <c r="AB8" s="928"/>
      <c r="AC8" s="928"/>
    </row>
    <row r="9" spans="1:29" ht="15" customHeight="1">
      <c r="A9" s="518">
        <v>2</v>
      </c>
      <c r="B9" s="480"/>
      <c r="C9" s="74"/>
      <c r="D9" s="284"/>
      <c r="E9" s="397">
        <v>0</v>
      </c>
      <c r="F9" s="823"/>
      <c r="G9" s="825"/>
      <c r="H9" s="74"/>
      <c r="I9" s="570">
        <f aca="true" t="shared" si="3" ref="I9:I27">IF(F9&gt;0,M9,"")</f>
      </c>
      <c r="J9" s="538">
        <v>0</v>
      </c>
      <c r="K9" s="547">
        <v>0</v>
      </c>
      <c r="L9" s="548"/>
      <c r="M9" s="478" t="e">
        <f aca="true" t="shared" si="4" ref="M9:M27">F9/$N$6</f>
        <v>#DIV/0!</v>
      </c>
      <c r="N9" s="109" t="e">
        <f aca="true" t="shared" si="5" ref="N9:N27">IF(D9="Sand Filter",ROUND(0.75*M9*$E$34,0),ROUND(M9*$E$34,0))</f>
        <v>#DIV/0!</v>
      </c>
      <c r="O9" s="109" t="e">
        <f aca="true" t="shared" si="6" ref="O9:O27">IF(D9="sand filter",ROUND(0.75*M9*$E$37,0),ROUND(M9*$E$37,0))</f>
        <v>#DIV/0!</v>
      </c>
      <c r="P9" s="109" t="e">
        <f>IF(Summary!$E$18="Delta 1-Yr Storm",'Storage Devices'!O9,IF(Summary!E20="Low Density",0,'Storage Devices'!N9))</f>
        <v>#DIV/0!</v>
      </c>
      <c r="Q9" s="80">
        <f t="shared" si="0"/>
        <v>0</v>
      </c>
      <c r="R9" s="80">
        <f t="shared" si="1"/>
        <v>0</v>
      </c>
      <c r="S9" s="109">
        <f t="shared" si="2"/>
        <v>0</v>
      </c>
      <c r="T9" s="80">
        <f aca="true" t="shared" si="7" ref="T9:T27">IF(E9="",0,IF(AND(R9="Y",Q9="Y"),IF(D9="sand filter",MIN(J9/0.75*1.1,E9/0.75),MIN(J9*1.1,E9)),0))</f>
        <v>0</v>
      </c>
      <c r="X9" s="85"/>
      <c r="Y9" s="928"/>
      <c r="Z9" s="928"/>
      <c r="AA9" s="928"/>
      <c r="AB9" s="928"/>
      <c r="AC9" s="928"/>
    </row>
    <row r="10" spans="1:29" ht="15" customHeight="1">
      <c r="A10" s="518">
        <v>3</v>
      </c>
      <c r="B10" s="480"/>
      <c r="C10" s="74"/>
      <c r="D10" s="284"/>
      <c r="E10" s="397">
        <v>0</v>
      </c>
      <c r="F10" s="823"/>
      <c r="G10" s="825"/>
      <c r="H10" s="74"/>
      <c r="I10" s="570">
        <f t="shared" si="3"/>
      </c>
      <c r="J10" s="538">
        <v>0</v>
      </c>
      <c r="K10" s="547">
        <v>0</v>
      </c>
      <c r="L10" s="548"/>
      <c r="M10" s="478" t="e">
        <f t="shared" si="4"/>
        <v>#DIV/0!</v>
      </c>
      <c r="N10" s="109" t="e">
        <f t="shared" si="5"/>
        <v>#DIV/0!</v>
      </c>
      <c r="O10" s="109" t="e">
        <f t="shared" si="6"/>
        <v>#DIV/0!</v>
      </c>
      <c r="P10" s="109" t="e">
        <f>IF(Summary!$E$18="Delta 1-Yr Storm",'Storage Devices'!O10,IF(Summary!E21="Low Density",0,'Storage Devices'!N10))</f>
        <v>#DIV/0!</v>
      </c>
      <c r="Q10" s="80">
        <f t="shared" si="0"/>
        <v>0</v>
      </c>
      <c r="R10" s="80">
        <f t="shared" si="1"/>
        <v>0</v>
      </c>
      <c r="S10" s="109">
        <f t="shared" si="2"/>
        <v>0</v>
      </c>
      <c r="T10" s="80">
        <f t="shared" si="7"/>
        <v>0</v>
      </c>
      <c r="X10" s="85"/>
      <c r="Y10" s="928"/>
      <c r="Z10" s="928"/>
      <c r="AA10" s="928"/>
      <c r="AB10" s="928"/>
      <c r="AC10" s="928"/>
    </row>
    <row r="11" spans="1:29" ht="15" customHeight="1">
      <c r="A11" s="518">
        <v>4</v>
      </c>
      <c r="B11" s="480"/>
      <c r="C11" s="74"/>
      <c r="D11" s="284"/>
      <c r="E11" s="397">
        <v>0</v>
      </c>
      <c r="F11" s="823"/>
      <c r="G11" s="825"/>
      <c r="H11" s="74"/>
      <c r="I11" s="570">
        <f t="shared" si="3"/>
      </c>
      <c r="J11" s="538">
        <v>0</v>
      </c>
      <c r="K11" s="547">
        <v>0</v>
      </c>
      <c r="L11" s="549"/>
      <c r="M11" s="478" t="e">
        <f t="shared" si="4"/>
        <v>#DIV/0!</v>
      </c>
      <c r="N11" s="109" t="e">
        <f t="shared" si="5"/>
        <v>#DIV/0!</v>
      </c>
      <c r="O11" s="109" t="e">
        <f t="shared" si="6"/>
        <v>#DIV/0!</v>
      </c>
      <c r="P11" s="109" t="e">
        <f>IF(Summary!$E$18="Delta 1-Yr Storm",'Storage Devices'!O11,IF(Summary!E22="Low Density",0,'Storage Devices'!N11))</f>
        <v>#DIV/0!</v>
      </c>
      <c r="Q11" s="80">
        <f t="shared" si="0"/>
        <v>0</v>
      </c>
      <c r="R11" s="80">
        <f t="shared" si="1"/>
        <v>0</v>
      </c>
      <c r="S11" s="109">
        <f t="shared" si="2"/>
        <v>0</v>
      </c>
      <c r="T11" s="80">
        <f t="shared" si="7"/>
        <v>0</v>
      </c>
      <c r="X11" s="85"/>
      <c r="Y11" s="928"/>
      <c r="Z11" s="928"/>
      <c r="AA11" s="928"/>
      <c r="AB11" s="928"/>
      <c r="AC11" s="928"/>
    </row>
    <row r="12" spans="1:29" ht="15" customHeight="1">
      <c r="A12" s="518">
        <v>5</v>
      </c>
      <c r="B12" s="480"/>
      <c r="C12" s="74"/>
      <c r="D12" s="284"/>
      <c r="E12" s="397">
        <v>0</v>
      </c>
      <c r="F12" s="823"/>
      <c r="G12" s="825"/>
      <c r="H12" s="74"/>
      <c r="I12" s="570">
        <f t="shared" si="3"/>
      </c>
      <c r="J12" s="538">
        <v>0</v>
      </c>
      <c r="K12" s="547">
        <v>0</v>
      </c>
      <c r="L12" s="507"/>
      <c r="M12" s="478" t="e">
        <f t="shared" si="4"/>
        <v>#DIV/0!</v>
      </c>
      <c r="N12" s="109" t="e">
        <f t="shared" si="5"/>
        <v>#DIV/0!</v>
      </c>
      <c r="O12" s="109" t="e">
        <f t="shared" si="6"/>
        <v>#DIV/0!</v>
      </c>
      <c r="P12" s="109" t="e">
        <f>IF(Summary!$E$18="Delta 1-Yr Storm",'Storage Devices'!O12,IF(Summary!E23="Low Density",0,'Storage Devices'!N12))</f>
        <v>#DIV/0!</v>
      </c>
      <c r="Q12" s="80">
        <f t="shared" si="0"/>
        <v>0</v>
      </c>
      <c r="R12" s="80">
        <f t="shared" si="1"/>
        <v>0</v>
      </c>
      <c r="S12" s="109">
        <f t="shared" si="2"/>
        <v>0</v>
      </c>
      <c r="T12" s="80">
        <f t="shared" si="7"/>
        <v>0</v>
      </c>
      <c r="X12" s="156"/>
      <c r="Y12" s="928"/>
      <c r="Z12" s="928"/>
      <c r="AA12" s="928"/>
      <c r="AB12" s="928"/>
      <c r="AC12" s="928"/>
    </row>
    <row r="13" spans="1:29" ht="15" customHeight="1">
      <c r="A13" s="518">
        <v>6</v>
      </c>
      <c r="B13" s="480"/>
      <c r="C13" s="74"/>
      <c r="D13" s="284"/>
      <c r="E13" s="397">
        <v>0</v>
      </c>
      <c r="F13" s="823"/>
      <c r="G13" s="825"/>
      <c r="H13" s="74"/>
      <c r="I13" s="570">
        <f t="shared" si="3"/>
      </c>
      <c r="J13" s="538">
        <v>0</v>
      </c>
      <c r="K13" s="547">
        <v>0</v>
      </c>
      <c r="L13" s="507"/>
      <c r="M13" s="478" t="e">
        <f t="shared" si="4"/>
        <v>#DIV/0!</v>
      </c>
      <c r="N13" s="109" t="e">
        <f t="shared" si="5"/>
        <v>#DIV/0!</v>
      </c>
      <c r="O13" s="109" t="e">
        <f t="shared" si="6"/>
        <v>#DIV/0!</v>
      </c>
      <c r="P13" s="109" t="e">
        <f>IF(Summary!$E$18="Delta 1-Yr Storm",'Storage Devices'!O13,IF(Summary!E24="Low Density",0,'Storage Devices'!N13))</f>
        <v>#DIV/0!</v>
      </c>
      <c r="Q13" s="80">
        <f t="shared" si="0"/>
        <v>0</v>
      </c>
      <c r="R13" s="80">
        <f t="shared" si="1"/>
        <v>0</v>
      </c>
      <c r="S13" s="109">
        <f t="shared" si="2"/>
        <v>0</v>
      </c>
      <c r="T13" s="80">
        <f t="shared" si="7"/>
        <v>0</v>
      </c>
      <c r="X13" s="158"/>
      <c r="Y13" s="158"/>
      <c r="Z13" s="172"/>
      <c r="AA13" s="106"/>
      <c r="AB13" s="106"/>
      <c r="AC13" s="85"/>
    </row>
    <row r="14" spans="1:29" ht="15" customHeight="1">
      <c r="A14" s="518">
        <v>7</v>
      </c>
      <c r="B14" s="480"/>
      <c r="C14" s="74"/>
      <c r="D14" s="284"/>
      <c r="E14" s="397">
        <v>0</v>
      </c>
      <c r="F14" s="823"/>
      <c r="G14" s="825"/>
      <c r="H14" s="74"/>
      <c r="I14" s="570">
        <f t="shared" si="3"/>
      </c>
      <c r="J14" s="538">
        <v>0</v>
      </c>
      <c r="K14" s="547">
        <v>0</v>
      </c>
      <c r="L14" s="85"/>
      <c r="M14" s="478" t="e">
        <f t="shared" si="4"/>
        <v>#DIV/0!</v>
      </c>
      <c r="N14" s="109" t="e">
        <f t="shared" si="5"/>
        <v>#DIV/0!</v>
      </c>
      <c r="O14" s="109" t="e">
        <f t="shared" si="6"/>
        <v>#DIV/0!</v>
      </c>
      <c r="P14" s="109" t="e">
        <f>IF(Summary!$E$18="Delta 1-Yr Storm",'Storage Devices'!O14,IF(Summary!E25="Low Density",0,'Storage Devices'!N14))</f>
        <v>#DIV/0!</v>
      </c>
      <c r="Q14" s="80">
        <f t="shared" si="0"/>
        <v>0</v>
      </c>
      <c r="R14" s="80">
        <f t="shared" si="1"/>
        <v>0</v>
      </c>
      <c r="S14" s="109">
        <f t="shared" si="2"/>
        <v>0</v>
      </c>
      <c r="T14" s="80">
        <f t="shared" si="7"/>
        <v>0</v>
      </c>
      <c r="X14" s="110"/>
      <c r="Y14" s="928" t="s">
        <v>477</v>
      </c>
      <c r="Z14" s="928"/>
      <c r="AA14" s="928"/>
      <c r="AB14" s="928"/>
      <c r="AC14" s="928"/>
    </row>
    <row r="15" spans="1:29" ht="15" customHeight="1">
      <c r="A15" s="518">
        <v>8</v>
      </c>
      <c r="B15" s="480"/>
      <c r="C15" s="74"/>
      <c r="D15" s="284"/>
      <c r="E15" s="397">
        <v>0</v>
      </c>
      <c r="F15" s="823"/>
      <c r="G15" s="825"/>
      <c r="H15" s="74"/>
      <c r="I15" s="570">
        <f t="shared" si="3"/>
      </c>
      <c r="J15" s="538">
        <v>0</v>
      </c>
      <c r="K15" s="547">
        <v>0</v>
      </c>
      <c r="L15" s="85"/>
      <c r="M15" s="478" t="e">
        <f t="shared" si="4"/>
        <v>#DIV/0!</v>
      </c>
      <c r="N15" s="109" t="e">
        <f t="shared" si="5"/>
        <v>#DIV/0!</v>
      </c>
      <c r="O15" s="109" t="e">
        <f t="shared" si="6"/>
        <v>#DIV/0!</v>
      </c>
      <c r="P15" s="109" t="e">
        <f>IF(Summary!$E$18="Delta 1-Yr Storm",'Storage Devices'!O15,IF(Summary!E26="Low Density",0,'Storage Devices'!N15))</f>
        <v>#DIV/0!</v>
      </c>
      <c r="Q15" s="80">
        <f t="shared" si="0"/>
        <v>0</v>
      </c>
      <c r="R15" s="80">
        <f t="shared" si="1"/>
        <v>0</v>
      </c>
      <c r="S15" s="109">
        <f t="shared" si="2"/>
        <v>0</v>
      </c>
      <c r="T15" s="80">
        <f t="shared" si="7"/>
        <v>0</v>
      </c>
      <c r="X15" s="110"/>
      <c r="Y15" s="928"/>
      <c r="Z15" s="928"/>
      <c r="AA15" s="928"/>
      <c r="AB15" s="928"/>
      <c r="AC15" s="928"/>
    </row>
    <row r="16" spans="1:29" ht="15" customHeight="1">
      <c r="A16" s="518">
        <v>9</v>
      </c>
      <c r="B16" s="480"/>
      <c r="C16" s="74"/>
      <c r="D16" s="284"/>
      <c r="E16" s="397">
        <v>0</v>
      </c>
      <c r="F16" s="823"/>
      <c r="G16" s="825"/>
      <c r="H16" s="74"/>
      <c r="I16" s="570">
        <f t="shared" si="3"/>
      </c>
      <c r="J16" s="538">
        <v>0</v>
      </c>
      <c r="K16" s="547">
        <v>0</v>
      </c>
      <c r="L16" s="85"/>
      <c r="M16" s="478" t="e">
        <f t="shared" si="4"/>
        <v>#DIV/0!</v>
      </c>
      <c r="N16" s="109" t="e">
        <f t="shared" si="5"/>
        <v>#DIV/0!</v>
      </c>
      <c r="O16" s="109" t="e">
        <f t="shared" si="6"/>
        <v>#DIV/0!</v>
      </c>
      <c r="P16" s="109" t="e">
        <f>IF(Summary!$E$18="Delta 1-Yr Storm",'Storage Devices'!O16,IF(Summary!E27="Low Density",0,'Storage Devices'!N16))</f>
        <v>#DIV/0!</v>
      </c>
      <c r="Q16" s="80">
        <f t="shared" si="0"/>
        <v>0</v>
      </c>
      <c r="R16" s="80">
        <f t="shared" si="1"/>
        <v>0</v>
      </c>
      <c r="S16" s="109">
        <f t="shared" si="2"/>
        <v>0</v>
      </c>
      <c r="T16" s="80">
        <f t="shared" si="7"/>
        <v>0</v>
      </c>
      <c r="X16" s="110"/>
      <c r="Y16" s="928"/>
      <c r="Z16" s="928"/>
      <c r="AA16" s="928"/>
      <c r="AB16" s="928"/>
      <c r="AC16" s="928"/>
    </row>
    <row r="17" spans="1:30" ht="15" customHeight="1">
      <c r="A17" s="518">
        <v>10</v>
      </c>
      <c r="B17" s="480"/>
      <c r="C17" s="74"/>
      <c r="D17" s="284"/>
      <c r="E17" s="397">
        <v>0</v>
      </c>
      <c r="F17" s="823"/>
      <c r="G17" s="825"/>
      <c r="H17" s="74"/>
      <c r="I17" s="570">
        <f t="shared" si="3"/>
      </c>
      <c r="J17" s="538">
        <v>0</v>
      </c>
      <c r="K17" s="547">
        <v>0</v>
      </c>
      <c r="L17" s="85"/>
      <c r="M17" s="478" t="e">
        <f t="shared" si="4"/>
        <v>#DIV/0!</v>
      </c>
      <c r="N17" s="109" t="e">
        <f t="shared" si="5"/>
        <v>#DIV/0!</v>
      </c>
      <c r="O17" s="109" t="e">
        <f t="shared" si="6"/>
        <v>#DIV/0!</v>
      </c>
      <c r="P17" s="109" t="e">
        <f>IF(Summary!$E$18="Delta 1-Yr Storm",'Storage Devices'!O17,IF(Summary!E28="Low Density",0,'Storage Devices'!N17))</f>
        <v>#DIV/0!</v>
      </c>
      <c r="Q17" s="80">
        <f t="shared" si="0"/>
        <v>0</v>
      </c>
      <c r="R17" s="80">
        <f t="shared" si="1"/>
        <v>0</v>
      </c>
      <c r="S17" s="109">
        <f t="shared" si="2"/>
        <v>0</v>
      </c>
      <c r="T17" s="80">
        <f t="shared" si="7"/>
        <v>0</v>
      </c>
      <c r="X17" s="110"/>
      <c r="Z17" s="226"/>
      <c r="AA17" s="146"/>
      <c r="AB17" s="146"/>
      <c r="AC17" s="226"/>
      <c r="AD17" s="340"/>
    </row>
    <row r="18" spans="1:30" ht="15" customHeight="1">
      <c r="A18" s="518">
        <v>11</v>
      </c>
      <c r="B18" s="480"/>
      <c r="C18" s="74"/>
      <c r="D18" s="284"/>
      <c r="E18" s="397">
        <v>0</v>
      </c>
      <c r="F18" s="823"/>
      <c r="G18" s="825"/>
      <c r="H18" s="74"/>
      <c r="I18" s="570">
        <f t="shared" si="3"/>
      </c>
      <c r="J18" s="538">
        <v>0</v>
      </c>
      <c r="K18" s="547">
        <v>0</v>
      </c>
      <c r="L18" s="85"/>
      <c r="M18" s="478" t="e">
        <f t="shared" si="4"/>
        <v>#DIV/0!</v>
      </c>
      <c r="N18" s="109" t="e">
        <f t="shared" si="5"/>
        <v>#DIV/0!</v>
      </c>
      <c r="O18" s="109" t="e">
        <f t="shared" si="6"/>
        <v>#DIV/0!</v>
      </c>
      <c r="P18" s="109" t="e">
        <f>IF(Summary!$E$18="Delta 1-Yr Storm",'Storage Devices'!O18,IF(Summary!E29="Low Density",0,'Storage Devices'!N18))</f>
        <v>#DIV/0!</v>
      </c>
      <c r="Q18" s="80">
        <f t="shared" si="0"/>
        <v>0</v>
      </c>
      <c r="R18" s="80">
        <f t="shared" si="1"/>
        <v>0</v>
      </c>
      <c r="S18" s="109">
        <f t="shared" si="2"/>
        <v>0</v>
      </c>
      <c r="T18" s="80">
        <f t="shared" si="7"/>
        <v>0</v>
      </c>
      <c r="X18" s="110"/>
      <c r="Z18" s="226"/>
      <c r="AA18" s="264"/>
      <c r="AB18" s="146"/>
      <c r="AC18" s="226"/>
      <c r="AD18" s="340"/>
    </row>
    <row r="19" spans="1:28" ht="15" customHeight="1">
      <c r="A19" s="518">
        <v>12</v>
      </c>
      <c r="B19" s="480"/>
      <c r="C19" s="74"/>
      <c r="D19" s="284"/>
      <c r="E19" s="397">
        <v>0</v>
      </c>
      <c r="F19" s="823"/>
      <c r="G19" s="825"/>
      <c r="H19" s="74"/>
      <c r="I19" s="570">
        <f t="shared" si="3"/>
      </c>
      <c r="J19" s="538">
        <v>0</v>
      </c>
      <c r="K19" s="547">
        <v>0</v>
      </c>
      <c r="L19" s="85"/>
      <c r="M19" s="478" t="e">
        <f t="shared" si="4"/>
        <v>#DIV/0!</v>
      </c>
      <c r="N19" s="109" t="e">
        <f t="shared" si="5"/>
        <v>#DIV/0!</v>
      </c>
      <c r="O19" s="109" t="e">
        <f t="shared" si="6"/>
        <v>#DIV/0!</v>
      </c>
      <c r="P19" s="109" t="e">
        <f>IF(Summary!$E$18="Delta 1-Yr Storm",'Storage Devices'!O19,IF(Summary!E30="Low Density",0,'Storage Devices'!N19))</f>
        <v>#DIV/0!</v>
      </c>
      <c r="Q19" s="80">
        <f t="shared" si="0"/>
        <v>0</v>
      </c>
      <c r="R19" s="80">
        <f t="shared" si="1"/>
        <v>0</v>
      </c>
      <c r="S19" s="109">
        <f t="shared" si="2"/>
        <v>0</v>
      </c>
      <c r="T19" s="80">
        <f t="shared" si="7"/>
        <v>0</v>
      </c>
      <c r="X19" s="110"/>
      <c r="Z19" s="226"/>
      <c r="AA19" s="146"/>
      <c r="AB19" s="146"/>
    </row>
    <row r="20" spans="1:29" ht="15" customHeight="1">
      <c r="A20" s="518">
        <v>13</v>
      </c>
      <c r="B20" s="480"/>
      <c r="C20" s="399"/>
      <c r="D20" s="284"/>
      <c r="E20" s="397">
        <v>0</v>
      </c>
      <c r="F20" s="823"/>
      <c r="G20" s="825"/>
      <c r="H20" s="74"/>
      <c r="I20" s="570">
        <f t="shared" si="3"/>
      </c>
      <c r="J20" s="538">
        <v>0</v>
      </c>
      <c r="K20" s="547">
        <v>0</v>
      </c>
      <c r="L20" s="85"/>
      <c r="M20" s="478" t="e">
        <f t="shared" si="4"/>
        <v>#DIV/0!</v>
      </c>
      <c r="N20" s="109" t="e">
        <f t="shared" si="5"/>
        <v>#DIV/0!</v>
      </c>
      <c r="O20" s="109" t="e">
        <f t="shared" si="6"/>
        <v>#DIV/0!</v>
      </c>
      <c r="P20" s="109" t="e">
        <f>IF(Summary!$E$18="Delta 1-Yr Storm",'Storage Devices'!O20,IF(Summary!E31="Low Density",0,'Storage Devices'!N20))</f>
        <v>#DIV/0!</v>
      </c>
      <c r="Q20" s="80">
        <f t="shared" si="0"/>
        <v>0</v>
      </c>
      <c r="R20" s="80">
        <f t="shared" si="1"/>
        <v>0</v>
      </c>
      <c r="S20" s="109">
        <f t="shared" si="2"/>
        <v>0</v>
      </c>
      <c r="T20" s="80">
        <f t="shared" si="7"/>
        <v>0</v>
      </c>
      <c r="X20" s="109"/>
      <c r="AA20" s="238"/>
      <c r="AB20" s="298"/>
      <c r="AC20" s="270"/>
    </row>
    <row r="21" spans="1:29" ht="15" customHeight="1">
      <c r="A21" s="518">
        <v>14</v>
      </c>
      <c r="B21" s="480"/>
      <c r="C21" s="74"/>
      <c r="D21" s="284"/>
      <c r="E21" s="397">
        <v>0</v>
      </c>
      <c r="F21" s="823"/>
      <c r="G21" s="825"/>
      <c r="H21" s="74"/>
      <c r="I21" s="570">
        <f t="shared" si="3"/>
      </c>
      <c r="J21" s="538">
        <v>0</v>
      </c>
      <c r="K21" s="547">
        <v>0</v>
      </c>
      <c r="L21" s="85"/>
      <c r="M21" s="478" t="e">
        <f t="shared" si="4"/>
        <v>#DIV/0!</v>
      </c>
      <c r="N21" s="109" t="e">
        <f t="shared" si="5"/>
        <v>#DIV/0!</v>
      </c>
      <c r="O21" s="109" t="e">
        <f t="shared" si="6"/>
        <v>#DIV/0!</v>
      </c>
      <c r="P21" s="109" t="e">
        <f>IF(Summary!$E$18="Delta 1-Yr Storm",'Storage Devices'!O21,IF(Summary!E32="Low Density",0,'Storage Devices'!N21))</f>
        <v>#DIV/0!</v>
      </c>
      <c r="Q21" s="80">
        <f t="shared" si="0"/>
        <v>0</v>
      </c>
      <c r="R21" s="80">
        <f t="shared" si="1"/>
        <v>0</v>
      </c>
      <c r="S21" s="109">
        <f t="shared" si="2"/>
        <v>0</v>
      </c>
      <c r="T21" s="80">
        <f t="shared" si="7"/>
        <v>0</v>
      </c>
      <c r="AA21" s="238"/>
      <c r="AB21" s="298"/>
      <c r="AC21" s="270"/>
    </row>
    <row r="22" spans="1:30" ht="15" customHeight="1">
      <c r="A22" s="518">
        <v>15</v>
      </c>
      <c r="B22" s="480"/>
      <c r="C22" s="74"/>
      <c r="D22" s="284"/>
      <c r="E22" s="397">
        <v>0</v>
      </c>
      <c r="F22" s="823"/>
      <c r="G22" s="825"/>
      <c r="H22" s="74"/>
      <c r="I22" s="570">
        <f t="shared" si="3"/>
      </c>
      <c r="J22" s="538">
        <v>0</v>
      </c>
      <c r="K22" s="547">
        <v>0</v>
      </c>
      <c r="L22" s="85"/>
      <c r="M22" s="478" t="e">
        <f t="shared" si="4"/>
        <v>#DIV/0!</v>
      </c>
      <c r="N22" s="109" t="e">
        <f t="shared" si="5"/>
        <v>#DIV/0!</v>
      </c>
      <c r="O22" s="109" t="e">
        <f t="shared" si="6"/>
        <v>#DIV/0!</v>
      </c>
      <c r="P22" s="109" t="e">
        <f>IF(Summary!$E$18="Delta 1-Yr Storm",'Storage Devices'!O22,IF(Summary!E33="Low Density",0,'Storage Devices'!N22))</f>
        <v>#DIV/0!</v>
      </c>
      <c r="Q22" s="80">
        <f t="shared" si="0"/>
        <v>0</v>
      </c>
      <c r="R22" s="80">
        <f t="shared" si="1"/>
        <v>0</v>
      </c>
      <c r="S22" s="109">
        <f t="shared" si="2"/>
        <v>0</v>
      </c>
      <c r="T22" s="80">
        <f t="shared" si="7"/>
        <v>0</v>
      </c>
      <c r="Y22" s="174"/>
      <c r="Z22" s="146"/>
      <c r="AA22" s="238"/>
      <c r="AB22" s="298"/>
      <c r="AC22" s="270"/>
      <c r="AD22" s="146"/>
    </row>
    <row r="23" spans="1:29" ht="15" customHeight="1">
      <c r="A23" s="518">
        <v>16</v>
      </c>
      <c r="B23" s="480"/>
      <c r="C23" s="74"/>
      <c r="D23" s="284"/>
      <c r="E23" s="397">
        <v>0</v>
      </c>
      <c r="F23" s="823"/>
      <c r="G23" s="825"/>
      <c r="H23" s="74"/>
      <c r="I23" s="570">
        <f t="shared" si="3"/>
      </c>
      <c r="J23" s="538">
        <v>0</v>
      </c>
      <c r="K23" s="547">
        <v>0</v>
      </c>
      <c r="L23" s="85"/>
      <c r="M23" s="478" t="e">
        <f t="shared" si="4"/>
        <v>#DIV/0!</v>
      </c>
      <c r="N23" s="109" t="e">
        <f t="shared" si="5"/>
        <v>#DIV/0!</v>
      </c>
      <c r="O23" s="109" t="e">
        <f t="shared" si="6"/>
        <v>#DIV/0!</v>
      </c>
      <c r="P23" s="109" t="e">
        <f>IF(Summary!$E$18="Delta 1-Yr Storm",'Storage Devices'!O23,IF(Summary!E34="Low Density",0,'Storage Devices'!N23))</f>
        <v>#DIV/0!</v>
      </c>
      <c r="Q23" s="80">
        <f t="shared" si="0"/>
        <v>0</v>
      </c>
      <c r="R23" s="80">
        <f t="shared" si="1"/>
        <v>0</v>
      </c>
      <c r="S23" s="109">
        <f t="shared" si="2"/>
        <v>0</v>
      </c>
      <c r="T23" s="80">
        <f t="shared" si="7"/>
        <v>0</v>
      </c>
      <c r="Z23" s="110"/>
      <c r="AA23" s="114"/>
      <c r="AB23" s="114"/>
      <c r="AC23" s="114"/>
    </row>
    <row r="24" spans="1:29" ht="15" customHeight="1">
      <c r="A24" s="518">
        <v>17</v>
      </c>
      <c r="B24" s="480"/>
      <c r="C24" s="74"/>
      <c r="D24" s="284"/>
      <c r="E24" s="397">
        <v>0</v>
      </c>
      <c r="F24" s="823"/>
      <c r="G24" s="825"/>
      <c r="H24" s="74"/>
      <c r="I24" s="570">
        <f t="shared" si="3"/>
      </c>
      <c r="J24" s="538">
        <v>0</v>
      </c>
      <c r="K24" s="547">
        <v>0</v>
      </c>
      <c r="L24" s="85"/>
      <c r="M24" s="478" t="e">
        <f t="shared" si="4"/>
        <v>#DIV/0!</v>
      </c>
      <c r="N24" s="109" t="e">
        <f t="shared" si="5"/>
        <v>#DIV/0!</v>
      </c>
      <c r="O24" s="109" t="e">
        <f t="shared" si="6"/>
        <v>#DIV/0!</v>
      </c>
      <c r="P24" s="109" t="e">
        <f>IF(Summary!$E$18="Delta 1-Yr Storm",'Storage Devices'!O24,IF(Summary!E35="Low Density",0,'Storage Devices'!N24))</f>
        <v>#DIV/0!</v>
      </c>
      <c r="Q24" s="80">
        <f t="shared" si="0"/>
        <v>0</v>
      </c>
      <c r="R24" s="80">
        <f t="shared" si="1"/>
        <v>0</v>
      </c>
      <c r="S24" s="109">
        <f t="shared" si="2"/>
        <v>0</v>
      </c>
      <c r="T24" s="80">
        <f t="shared" si="7"/>
        <v>0</v>
      </c>
      <c r="Y24" s="112"/>
      <c r="Z24" s="110"/>
      <c r="AA24" s="114"/>
      <c r="AB24" s="114"/>
      <c r="AC24" s="114"/>
    </row>
    <row r="25" spans="1:26" ht="15" customHeight="1">
      <c r="A25" s="518">
        <v>18</v>
      </c>
      <c r="B25" s="480"/>
      <c r="C25" s="74"/>
      <c r="D25" s="284"/>
      <c r="E25" s="397">
        <v>0</v>
      </c>
      <c r="F25" s="823"/>
      <c r="G25" s="825"/>
      <c r="H25" s="74"/>
      <c r="I25" s="570">
        <f t="shared" si="3"/>
      </c>
      <c r="J25" s="538">
        <v>0</v>
      </c>
      <c r="K25" s="547">
        <v>0</v>
      </c>
      <c r="L25" s="85"/>
      <c r="M25" s="478" t="e">
        <f t="shared" si="4"/>
        <v>#DIV/0!</v>
      </c>
      <c r="N25" s="109" t="e">
        <f t="shared" si="5"/>
        <v>#DIV/0!</v>
      </c>
      <c r="O25" s="109" t="e">
        <f t="shared" si="6"/>
        <v>#DIV/0!</v>
      </c>
      <c r="P25" s="109" t="e">
        <f>IF(Summary!$E$18="Delta 1-Yr Storm",'Storage Devices'!O25,IF(Summary!E36="Low Density",0,'Storage Devices'!N25))</f>
        <v>#DIV/0!</v>
      </c>
      <c r="Q25" s="80">
        <f t="shared" si="0"/>
        <v>0</v>
      </c>
      <c r="R25" s="80">
        <f t="shared" si="1"/>
        <v>0</v>
      </c>
      <c r="S25" s="109">
        <f t="shared" si="2"/>
        <v>0</v>
      </c>
      <c r="T25" s="80">
        <f t="shared" si="7"/>
        <v>0</v>
      </c>
      <c r="X25" s="110"/>
      <c r="Y25" s="110"/>
      <c r="Z25" s="110"/>
    </row>
    <row r="26" spans="1:26" ht="15" customHeight="1">
      <c r="A26" s="518">
        <v>19</v>
      </c>
      <c r="B26" s="480"/>
      <c r="C26" s="74"/>
      <c r="D26" s="284"/>
      <c r="E26" s="397">
        <v>0</v>
      </c>
      <c r="F26" s="823"/>
      <c r="G26" s="825"/>
      <c r="H26" s="74"/>
      <c r="I26" s="570">
        <f t="shared" si="3"/>
      </c>
      <c r="J26" s="538">
        <v>0</v>
      </c>
      <c r="K26" s="547">
        <v>0</v>
      </c>
      <c r="L26" s="85"/>
      <c r="M26" s="478" t="e">
        <f t="shared" si="4"/>
        <v>#DIV/0!</v>
      </c>
      <c r="N26" s="109" t="e">
        <f t="shared" si="5"/>
        <v>#DIV/0!</v>
      </c>
      <c r="O26" s="109" t="e">
        <f t="shared" si="6"/>
        <v>#DIV/0!</v>
      </c>
      <c r="P26" s="109" t="e">
        <f>IF(Summary!$E$18="Delta 1-Yr Storm",'Storage Devices'!O26,IF(Summary!E37="Low Density",0,'Storage Devices'!N26))</f>
        <v>#DIV/0!</v>
      </c>
      <c r="Q26" s="80">
        <f t="shared" si="0"/>
        <v>0</v>
      </c>
      <c r="R26" s="80">
        <f t="shared" si="1"/>
        <v>0</v>
      </c>
      <c r="S26" s="109">
        <f t="shared" si="2"/>
        <v>0</v>
      </c>
      <c r="T26" s="80">
        <f t="shared" si="7"/>
        <v>0</v>
      </c>
      <c r="X26" s="110"/>
      <c r="Y26" s="174"/>
      <c r="Z26" s="110"/>
    </row>
    <row r="27" spans="1:29" ht="15" customHeight="1" thickBot="1">
      <c r="A27" s="519">
        <v>20</v>
      </c>
      <c r="B27" s="520"/>
      <c r="C27" s="521"/>
      <c r="D27" s="522"/>
      <c r="E27" s="397">
        <v>0</v>
      </c>
      <c r="F27" s="823"/>
      <c r="G27" s="825"/>
      <c r="H27" s="74"/>
      <c r="I27" s="570">
        <f t="shared" si="3"/>
      </c>
      <c r="J27" s="582">
        <v>0</v>
      </c>
      <c r="K27" s="583">
        <v>0</v>
      </c>
      <c r="L27" s="85"/>
      <c r="M27" s="478" t="e">
        <f t="shared" si="4"/>
        <v>#DIV/0!</v>
      </c>
      <c r="N27" s="109" t="e">
        <f t="shared" si="5"/>
        <v>#DIV/0!</v>
      </c>
      <c r="O27" s="109" t="e">
        <f t="shared" si="6"/>
        <v>#DIV/0!</v>
      </c>
      <c r="P27" s="109" t="e">
        <f>IF(Summary!$E$18="Delta 1-Yr Storm",'Storage Devices'!O27,IF(Summary!E38="Low Density",0,'Storage Devices'!N27))</f>
        <v>#DIV/0!</v>
      </c>
      <c r="Q27" s="80">
        <f t="shared" si="0"/>
        <v>0</v>
      </c>
      <c r="R27" s="80">
        <f t="shared" si="1"/>
        <v>0</v>
      </c>
      <c r="S27" s="109">
        <f t="shared" si="2"/>
        <v>0</v>
      </c>
      <c r="T27" s="80">
        <f t="shared" si="7"/>
        <v>0</v>
      </c>
      <c r="X27" s="110"/>
      <c r="Y27" s="966"/>
      <c r="Z27" s="966"/>
      <c r="AA27" s="966"/>
      <c r="AB27" s="966"/>
      <c r="AC27" s="966"/>
    </row>
    <row r="28" spans="1:29" ht="8.25" customHeight="1">
      <c r="A28" s="82"/>
      <c r="B28" s="539"/>
      <c r="C28" s="539"/>
      <c r="D28" s="539"/>
      <c r="E28" s="540"/>
      <c r="F28" s="539"/>
      <c r="G28" s="539"/>
      <c r="H28" s="539"/>
      <c r="I28" s="539"/>
      <c r="J28" s="539"/>
      <c r="K28" s="541"/>
      <c r="L28" s="85"/>
      <c r="M28" s="85"/>
      <c r="N28" s="85"/>
      <c r="O28" s="109"/>
      <c r="P28" s="109"/>
      <c r="Q28" s="109"/>
      <c r="R28" s="109"/>
      <c r="S28" s="109"/>
      <c r="T28" s="109"/>
      <c r="U28" s="109"/>
      <c r="V28" s="109"/>
      <c r="W28" s="109"/>
      <c r="Y28" s="966"/>
      <c r="Z28" s="966"/>
      <c r="AA28" s="966"/>
      <c r="AB28" s="966"/>
      <c r="AC28" s="966"/>
    </row>
    <row r="29" spans="1:29" ht="19.5" customHeight="1" thickBot="1">
      <c r="A29" s="159"/>
      <c r="B29" s="962">
        <f>IF(AND(COUNTIF(D8:D27,"Permeable Pavement")&gt;0,COUNTIF('Post-Development'!C23:D36,"Pervious Pavement")&gt;0),"Warning: Pervious Pavement is used as both a land use and a storage device, storage device should only be used if additional volume is provided.","")</f>
      </c>
      <c r="C29" s="962"/>
      <c r="D29" s="962"/>
      <c r="E29" s="962"/>
      <c r="F29" s="962"/>
      <c r="G29" s="962"/>
      <c r="H29" s="962"/>
      <c r="I29" s="962"/>
      <c r="J29" s="962"/>
      <c r="K29" s="963"/>
      <c r="L29" s="85"/>
      <c r="M29" s="85"/>
      <c r="N29" s="85"/>
      <c r="O29" s="109"/>
      <c r="P29" s="109"/>
      <c r="Q29" s="109"/>
      <c r="R29" s="109"/>
      <c r="S29" s="109"/>
      <c r="T29" s="109"/>
      <c r="U29" s="109"/>
      <c r="V29" s="109"/>
      <c r="W29" s="109"/>
      <c r="Y29" s="966"/>
      <c r="Z29" s="966"/>
      <c r="AA29" s="966"/>
      <c r="AB29" s="966"/>
      <c r="AC29" s="966"/>
    </row>
    <row r="30" spans="1:28" ht="8.25" customHeight="1" thickBot="1" thickTop="1">
      <c r="A30" s="82"/>
      <c r="B30" s="542"/>
      <c r="C30" s="166"/>
      <c r="D30" s="166"/>
      <c r="E30" s="398"/>
      <c r="F30" s="166"/>
      <c r="G30" s="166"/>
      <c r="H30" s="166"/>
      <c r="I30" s="166"/>
      <c r="J30" s="166"/>
      <c r="K30" s="182"/>
      <c r="L30" s="85"/>
      <c r="M30" s="85"/>
      <c r="N30" s="85"/>
      <c r="O30" s="109"/>
      <c r="P30" s="109"/>
      <c r="Q30" s="109"/>
      <c r="R30" s="109"/>
      <c r="S30" s="109"/>
      <c r="T30" s="109"/>
      <c r="U30" s="109"/>
      <c r="V30" s="109"/>
      <c r="W30" s="109"/>
      <c r="Y30" s="113"/>
      <c r="Z30" s="113"/>
      <c r="AA30" s="85"/>
      <c r="AB30" s="85"/>
    </row>
    <row r="31" spans="1:29" ht="15" customHeight="1" thickBot="1">
      <c r="A31" s="82"/>
      <c r="B31" s="543"/>
      <c r="C31" s="911" t="s">
        <v>457</v>
      </c>
      <c r="D31" s="912"/>
      <c r="E31" s="564">
        <f>SUM(T8:T27)</f>
        <v>0</v>
      </c>
      <c r="F31" s="565" t="s">
        <v>85</v>
      </c>
      <c r="G31" s="137"/>
      <c r="H31" s="562"/>
      <c r="I31" s="562"/>
      <c r="J31" s="562"/>
      <c r="K31" s="563"/>
      <c r="L31" s="85"/>
      <c r="M31" s="85"/>
      <c r="N31" s="85"/>
      <c r="O31" s="109"/>
      <c r="P31" s="109"/>
      <c r="Q31" s="109"/>
      <c r="R31" s="109"/>
      <c r="S31" s="109"/>
      <c r="T31" s="109"/>
      <c r="U31" s="109"/>
      <c r="V31" s="109"/>
      <c r="W31" s="109"/>
      <c r="X31" s="111"/>
      <c r="Y31" s="969"/>
      <c r="Z31" s="969"/>
      <c r="AA31" s="969"/>
      <c r="AB31" s="969"/>
      <c r="AC31" s="969"/>
    </row>
    <row r="32" spans="1:29" ht="15" customHeight="1" thickBot="1">
      <c r="A32" s="82"/>
      <c r="B32" s="543"/>
      <c r="C32" s="911" t="s">
        <v>381</v>
      </c>
      <c r="D32" s="912"/>
      <c r="E32" s="964">
        <f>IF(SUM(F8:G27)=0,0,IF(AND(SUM(F8:G27)&gt;N6,SUM(F8:G27)&lt;N6*1.05),1,IF(SUM(F8:G27)&gt;N6*1.05,"Error, "&amp;ROUND((SUM(F8:G27)/N6*100),0)&amp;" % Treated."," "&amp;ROUND((SUM(F8:G27)*100/N6),1)&amp;" % Treated - "&amp;SUM(F8:G27)&amp;" of "&amp;ROUND('Post-Development'!R46,2)&amp;" total impervious acres.")))</f>
        <v>0</v>
      </c>
      <c r="F32" s="964"/>
      <c r="G32" s="964"/>
      <c r="H32" s="964"/>
      <c r="I32" s="965"/>
      <c r="J32" s="562"/>
      <c r="K32" s="563"/>
      <c r="L32" s="85"/>
      <c r="M32" s="85"/>
      <c r="N32" s="85"/>
      <c r="O32" s="109"/>
      <c r="P32" s="109"/>
      <c r="Q32" s="109"/>
      <c r="R32" s="109"/>
      <c r="S32" s="109"/>
      <c r="T32" s="109"/>
      <c r="U32" s="109"/>
      <c r="V32" s="109"/>
      <c r="W32" s="109"/>
      <c r="X32" s="111"/>
      <c r="Y32" s="969"/>
      <c r="Z32" s="969"/>
      <c r="AA32" s="969"/>
      <c r="AB32" s="969"/>
      <c r="AC32" s="969"/>
    </row>
    <row r="33" spans="1:29" ht="13.5" thickBot="1">
      <c r="A33" s="82"/>
      <c r="B33" s="543"/>
      <c r="C33" s="137"/>
      <c r="D33" s="268"/>
      <c r="E33" s="486"/>
      <c r="F33" s="185"/>
      <c r="G33" s="137"/>
      <c r="H33" s="967"/>
      <c r="I33" s="967"/>
      <c r="J33" s="967"/>
      <c r="K33" s="968"/>
      <c r="L33" s="85"/>
      <c r="M33" s="85"/>
      <c r="N33" s="85"/>
      <c r="O33" s="109"/>
      <c r="P33" s="109"/>
      <c r="Q33" s="109"/>
      <c r="R33" s="109"/>
      <c r="S33" s="109"/>
      <c r="T33" s="109"/>
      <c r="U33" s="109"/>
      <c r="V33" s="109"/>
      <c r="W33" s="109"/>
      <c r="X33" s="111"/>
      <c r="Y33" s="969"/>
      <c r="Z33" s="969"/>
      <c r="AA33" s="969"/>
      <c r="AB33" s="969"/>
      <c r="AC33" s="969"/>
    </row>
    <row r="34" spans="1:28" ht="15" customHeight="1" thickBot="1">
      <c r="A34" s="82"/>
      <c r="B34" s="543"/>
      <c r="C34" s="913" t="s">
        <v>295</v>
      </c>
      <c r="D34" s="913"/>
      <c r="E34" s="957">
        <f>IF('Post-Development'!E45=0,0,ROUND((('Post-Development'!E45))*43560*(1/12),0))</f>
        <v>0</v>
      </c>
      <c r="F34" s="958" t="s">
        <v>85</v>
      </c>
      <c r="G34" s="959" t="s">
        <v>444</v>
      </c>
      <c r="H34" s="960"/>
      <c r="I34" s="961"/>
      <c r="J34" s="569" t="s">
        <v>455</v>
      </c>
      <c r="K34" s="566"/>
      <c r="L34" s="85"/>
      <c r="M34" s="85"/>
      <c r="N34" s="85"/>
      <c r="O34" s="109"/>
      <c r="P34" s="109"/>
      <c r="Q34" s="109"/>
      <c r="R34" s="109"/>
      <c r="S34" s="109"/>
      <c r="T34" s="109"/>
      <c r="U34" s="109"/>
      <c r="V34" s="109"/>
      <c r="W34" s="109"/>
      <c r="X34" s="111"/>
      <c r="Y34" s="111"/>
      <c r="Z34" s="111"/>
      <c r="AA34" s="85"/>
      <c r="AB34" s="85"/>
    </row>
    <row r="35" spans="1:28" ht="12.75">
      <c r="A35" s="82"/>
      <c r="B35" s="543"/>
      <c r="C35" s="913"/>
      <c r="D35" s="913"/>
      <c r="E35" s="957"/>
      <c r="F35" s="958"/>
      <c r="G35" s="914" t="s">
        <v>384</v>
      </c>
      <c r="H35" s="915"/>
      <c r="I35" s="572">
        <v>0</v>
      </c>
      <c r="J35" s="576"/>
      <c r="K35" s="566"/>
      <c r="L35" s="85"/>
      <c r="M35" s="85"/>
      <c r="N35" s="85"/>
      <c r="O35" s="109"/>
      <c r="P35" s="109"/>
      <c r="Q35" s="109"/>
      <c r="R35" s="109"/>
      <c r="S35" s="109"/>
      <c r="T35" s="109"/>
      <c r="U35" s="109"/>
      <c r="V35" s="109"/>
      <c r="W35" s="109"/>
      <c r="X35" s="111"/>
      <c r="Y35" s="111"/>
      <c r="Z35" s="111"/>
      <c r="AA35" s="85"/>
      <c r="AB35" s="85"/>
    </row>
    <row r="36" spans="1:28" ht="12.75">
      <c r="A36" s="82"/>
      <c r="B36" s="543"/>
      <c r="C36" s="137"/>
      <c r="D36" s="137"/>
      <c r="E36" s="83"/>
      <c r="F36" s="83"/>
      <c r="G36" s="918" t="s">
        <v>385</v>
      </c>
      <c r="H36" s="919"/>
      <c r="I36" s="573">
        <v>0</v>
      </c>
      <c r="J36" s="577"/>
      <c r="K36" s="566"/>
      <c r="L36" s="85"/>
      <c r="M36" s="85"/>
      <c r="N36" s="85"/>
      <c r="O36" s="109"/>
      <c r="P36" s="109"/>
      <c r="Q36" s="109"/>
      <c r="R36" s="109"/>
      <c r="S36" s="109"/>
      <c r="T36" s="109"/>
      <c r="U36" s="109"/>
      <c r="V36" s="109"/>
      <c r="W36" s="109"/>
      <c r="X36" s="111"/>
      <c r="Y36" s="111"/>
      <c r="Z36" s="111"/>
      <c r="AA36" s="85"/>
      <c r="AB36" s="85"/>
    </row>
    <row r="37" spans="1:28" ht="14.25" customHeight="1" thickBot="1">
      <c r="A37" s="82"/>
      <c r="B37" s="543"/>
      <c r="C37" s="913" t="s">
        <v>392</v>
      </c>
      <c r="D37" s="921"/>
      <c r="E37" s="957">
        <f>IF('Post-Development'!E46-'Pre-Development'!E35&lt;0,0,ROUND((('Post-Development'!E46-'Pre-Development'!E35)/12)*43560,0))</f>
        <v>0</v>
      </c>
      <c r="F37" s="958" t="s">
        <v>85</v>
      </c>
      <c r="G37" s="918" t="s">
        <v>386</v>
      </c>
      <c r="H37" s="919"/>
      <c r="I37" s="573">
        <v>0</v>
      </c>
      <c r="J37" s="578"/>
      <c r="K37" s="568"/>
      <c r="L37" s="85"/>
      <c r="M37" s="85"/>
      <c r="N37" s="85"/>
      <c r="O37" s="109"/>
      <c r="P37" s="109"/>
      <c r="Q37" s="109"/>
      <c r="R37" s="109"/>
      <c r="S37" s="109"/>
      <c r="T37" s="109"/>
      <c r="U37" s="109"/>
      <c r="V37" s="109"/>
      <c r="W37" s="109"/>
      <c r="X37" s="111"/>
      <c r="Y37" s="111"/>
      <c r="Z37" s="111"/>
      <c r="AA37" s="85"/>
      <c r="AB37" s="85"/>
    </row>
    <row r="38" spans="1:28" ht="12.75" customHeight="1">
      <c r="A38" s="82"/>
      <c r="B38" s="543"/>
      <c r="C38" s="921"/>
      <c r="D38" s="921"/>
      <c r="E38" s="957"/>
      <c r="F38" s="958"/>
      <c r="G38" s="918" t="s">
        <v>387</v>
      </c>
      <c r="H38" s="919"/>
      <c r="I38" s="574" t="s">
        <v>478</v>
      </c>
      <c r="J38" s="567"/>
      <c r="K38" s="568"/>
      <c r="L38" s="85"/>
      <c r="M38" s="85"/>
      <c r="N38" s="85"/>
      <c r="O38" s="109"/>
      <c r="P38" s="109"/>
      <c r="Q38" s="109"/>
      <c r="R38" s="109"/>
      <c r="S38" s="109"/>
      <c r="T38" s="109"/>
      <c r="U38" s="109"/>
      <c r="V38" s="109"/>
      <c r="W38" s="109"/>
      <c r="X38" s="111"/>
      <c r="Y38" s="111"/>
      <c r="Z38" s="111"/>
      <c r="AA38" s="85"/>
      <c r="AB38" s="85"/>
    </row>
    <row r="39" spans="1:28" ht="13.5" thickBot="1">
      <c r="A39" s="82"/>
      <c r="B39" s="543"/>
      <c r="C39" s="137"/>
      <c r="D39" s="268"/>
      <c r="E39" s="83"/>
      <c r="F39" s="83"/>
      <c r="G39" s="916" t="s">
        <v>452</v>
      </c>
      <c r="H39" s="917"/>
      <c r="I39" s="575" t="s">
        <v>478</v>
      </c>
      <c r="J39" s="567"/>
      <c r="K39" s="568"/>
      <c r="L39" s="85"/>
      <c r="M39" s="85"/>
      <c r="N39" s="85"/>
      <c r="O39" s="109"/>
      <c r="P39" s="109"/>
      <c r="Q39" s="109"/>
      <c r="R39" s="109"/>
      <c r="S39" s="109"/>
      <c r="T39" s="109"/>
      <c r="U39" s="109"/>
      <c r="V39" s="109"/>
      <c r="W39" s="109"/>
      <c r="X39" s="111"/>
      <c r="Y39" s="111"/>
      <c r="Z39" s="111"/>
      <c r="AA39" s="85"/>
      <c r="AB39" s="85"/>
    </row>
    <row r="40" spans="1:29" ht="12.75">
      <c r="A40" s="82"/>
      <c r="B40" s="543"/>
      <c r="C40" s="137"/>
      <c r="D40" s="268"/>
      <c r="E40" s="486"/>
      <c r="F40" s="185"/>
      <c r="G40" s="932">
        <f>IF(MAX(S8:S27)&gt;1,"Note: 0% Pollutant Credit Calculated for Alternative Devices",0)</f>
        <v>0</v>
      </c>
      <c r="H40" s="932"/>
      <c r="I40" s="932"/>
      <c r="J40" s="932"/>
      <c r="K40" s="933"/>
      <c r="L40" s="85"/>
      <c r="M40" s="85"/>
      <c r="N40" s="85"/>
      <c r="O40" s="109"/>
      <c r="P40" s="109"/>
      <c r="Q40" s="109"/>
      <c r="R40" s="109"/>
      <c r="S40" s="109"/>
      <c r="T40" s="109"/>
      <c r="U40" s="109"/>
      <c r="V40" s="109"/>
      <c r="W40" s="109"/>
      <c r="X40" s="111"/>
      <c r="Y40" s="928"/>
      <c r="Z40" s="928"/>
      <c r="AA40" s="928"/>
      <c r="AB40" s="928"/>
      <c r="AC40" s="928"/>
    </row>
    <row r="41" spans="1:29" ht="11.25" customHeight="1" thickBot="1">
      <c r="A41" s="82"/>
      <c r="B41" s="544"/>
      <c r="C41" s="401"/>
      <c r="D41" s="402"/>
      <c r="E41" s="403"/>
      <c r="F41" s="404"/>
      <c r="G41" s="160"/>
      <c r="H41" s="160"/>
      <c r="I41" s="160"/>
      <c r="J41" s="160"/>
      <c r="K41" s="161"/>
      <c r="L41" s="85"/>
      <c r="M41" s="85"/>
      <c r="N41" s="85"/>
      <c r="O41" s="85"/>
      <c r="P41" s="85"/>
      <c r="Q41" s="85"/>
      <c r="R41" s="85"/>
      <c r="S41" s="85"/>
      <c r="T41" s="85"/>
      <c r="U41" s="85"/>
      <c r="V41" s="85"/>
      <c r="W41" s="85"/>
      <c r="X41" s="113"/>
      <c r="Y41" s="928"/>
      <c r="Z41" s="928"/>
      <c r="AA41" s="928"/>
      <c r="AB41" s="928"/>
      <c r="AC41" s="928"/>
    </row>
    <row r="42" spans="1:29" ht="21.75" customHeight="1" thickBot="1" thickTop="1">
      <c r="A42" s="546"/>
      <c r="B42" s="929" t="s">
        <v>215</v>
      </c>
      <c r="C42" s="930"/>
      <c r="D42" s="930"/>
      <c r="E42" s="930"/>
      <c r="F42" s="930"/>
      <c r="G42" s="930"/>
      <c r="H42" s="930"/>
      <c r="I42" s="930"/>
      <c r="J42" s="930"/>
      <c r="K42" s="931"/>
      <c r="L42" s="85"/>
      <c r="M42" s="85"/>
      <c r="N42" s="80" t="s">
        <v>83</v>
      </c>
      <c r="O42" s="85" t="s">
        <v>397</v>
      </c>
      <c r="P42" s="85" t="s">
        <v>446</v>
      </c>
      <c r="Q42" s="85" t="s">
        <v>379</v>
      </c>
      <c r="R42" s="85"/>
      <c r="S42" s="85"/>
      <c r="T42" s="85"/>
      <c r="U42" s="85"/>
      <c r="V42" s="85"/>
      <c r="W42" s="85"/>
      <c r="X42" s="113"/>
      <c r="Y42" s="928"/>
      <c r="Z42" s="928"/>
      <c r="AA42" s="928"/>
      <c r="AB42" s="928"/>
      <c r="AC42" s="928"/>
    </row>
    <row r="43" spans="1:28" ht="9.75" customHeight="1" thickTop="1">
      <c r="A43" s="82"/>
      <c r="B43" s="545"/>
      <c r="C43" s="407"/>
      <c r="D43" s="407"/>
      <c r="E43" s="407"/>
      <c r="F43" s="407"/>
      <c r="G43" s="407"/>
      <c r="H43" s="407"/>
      <c r="I43" s="407"/>
      <c r="J43" s="407"/>
      <c r="K43" s="408"/>
      <c r="L43" s="85"/>
      <c r="M43" s="85"/>
      <c r="N43" s="162" t="s">
        <v>394</v>
      </c>
      <c r="O43" s="85" t="s">
        <v>396</v>
      </c>
      <c r="P43" s="85" t="s">
        <v>396</v>
      </c>
      <c r="Q43" s="85">
        <v>2</v>
      </c>
      <c r="R43" s="85"/>
      <c r="S43" s="85"/>
      <c r="T43" s="85"/>
      <c r="U43" s="85"/>
      <c r="V43" s="85"/>
      <c r="W43" s="85"/>
      <c r="X43" s="113"/>
      <c r="Y43" s="385"/>
      <c r="Z43" s="385"/>
      <c r="AA43" s="385"/>
      <c r="AB43" s="85"/>
    </row>
    <row r="44" spans="1:29" ht="31.5" customHeight="1">
      <c r="A44" s="82"/>
      <c r="B44" s="920" t="s">
        <v>330</v>
      </c>
      <c r="C44" s="920"/>
      <c r="D44" s="405" t="s">
        <v>328</v>
      </c>
      <c r="E44" s="927" t="s">
        <v>329</v>
      </c>
      <c r="F44" s="927"/>
      <c r="G44" s="927"/>
      <c r="H44" s="927"/>
      <c r="I44" s="488"/>
      <c r="J44" s="384"/>
      <c r="K44" s="186"/>
      <c r="L44" s="176"/>
      <c r="M44" s="85"/>
      <c r="N44" s="162" t="s">
        <v>380</v>
      </c>
      <c r="O44" s="85" t="s">
        <v>395</v>
      </c>
      <c r="P44" s="85" t="s">
        <v>396</v>
      </c>
      <c r="Q44" s="85">
        <v>2</v>
      </c>
      <c r="R44" s="85"/>
      <c r="S44" s="85"/>
      <c r="T44" s="85"/>
      <c r="U44" s="85"/>
      <c r="V44" s="85"/>
      <c r="W44" s="85"/>
      <c r="X44" s="113"/>
      <c r="Y44" s="925"/>
      <c r="Z44" s="926"/>
      <c r="AA44" s="926"/>
      <c r="AB44" s="926"/>
      <c r="AC44" s="926"/>
    </row>
    <row r="45" spans="1:29" ht="15" customHeight="1">
      <c r="A45" s="82"/>
      <c r="B45" s="922" t="s">
        <v>331</v>
      </c>
      <c r="C45" s="923"/>
      <c r="D45" s="406" t="s">
        <v>285</v>
      </c>
      <c r="E45" s="910">
        <f>IF('Post-Development'!F41=0,0,IF('Peak Flow Calcs'!C69-'Peak Flow Calcs'!C60&lt;=0,"N/A",(('Peak Flow Calcs'!C69-'Peak Flow Calcs'!C60)/12)*Summary!$E$9*43560))</f>
        <v>0</v>
      </c>
      <c r="F45" s="910"/>
      <c r="G45" s="910"/>
      <c r="H45" s="910"/>
      <c r="I45" s="489"/>
      <c r="J45" s="83"/>
      <c r="K45" s="84"/>
      <c r="L45" s="176"/>
      <c r="M45" s="85"/>
      <c r="N45" s="162" t="s">
        <v>80</v>
      </c>
      <c r="O45" s="85" t="s">
        <v>395</v>
      </c>
      <c r="P45" s="85" t="s">
        <v>395</v>
      </c>
      <c r="Q45" s="85">
        <v>1</v>
      </c>
      <c r="R45" s="85"/>
      <c r="S45" s="85"/>
      <c r="T45" s="85"/>
      <c r="U45" s="85"/>
      <c r="V45" s="85"/>
      <c r="W45" s="85"/>
      <c r="X45" s="113"/>
      <c r="Y45" s="925"/>
      <c r="Z45" s="926"/>
      <c r="AA45" s="926"/>
      <c r="AB45" s="926"/>
      <c r="AC45" s="926"/>
    </row>
    <row r="46" spans="1:29" ht="15" customHeight="1">
      <c r="A46" s="82"/>
      <c r="B46" s="924"/>
      <c r="C46" s="923"/>
      <c r="D46" s="406" t="s">
        <v>286</v>
      </c>
      <c r="E46" s="910">
        <f>IF('Post-Development'!F41=0,0,IF('Peak Flow Calcs'!F69-'Peak Flow Calcs'!F60&lt;=0,"N/A",(('Peak Flow Calcs'!F69-'Peak Flow Calcs'!F60)/12)*Summary!$E$9*43560))</f>
        <v>0</v>
      </c>
      <c r="F46" s="910"/>
      <c r="G46" s="910"/>
      <c r="H46" s="910"/>
      <c r="I46" s="489"/>
      <c r="J46" s="83"/>
      <c r="K46" s="84"/>
      <c r="L46" s="176"/>
      <c r="M46" s="85"/>
      <c r="N46" s="162" t="s">
        <v>476</v>
      </c>
      <c r="O46" s="85" t="s">
        <v>395</v>
      </c>
      <c r="P46" s="85" t="s">
        <v>395</v>
      </c>
      <c r="Q46" s="85">
        <v>1</v>
      </c>
      <c r="R46" s="85"/>
      <c r="S46" s="85"/>
      <c r="T46" s="85"/>
      <c r="U46" s="85"/>
      <c r="V46" s="85"/>
      <c r="W46" s="85"/>
      <c r="X46" s="113"/>
      <c r="Y46" s="926"/>
      <c r="Z46" s="926"/>
      <c r="AA46" s="926"/>
      <c r="AB46" s="926"/>
      <c r="AC46" s="926"/>
    </row>
    <row r="47" spans="1:29" ht="15" customHeight="1">
      <c r="A47" s="82"/>
      <c r="B47" s="924"/>
      <c r="C47" s="923"/>
      <c r="D47" s="406" t="s">
        <v>287</v>
      </c>
      <c r="E47" s="910">
        <f>IF('Post-Development'!F41=0,0,IF('Peak Flow Calcs'!C70-'Peak Flow Calcs'!C61&lt;=0,"N/A",(('Peak Flow Calcs'!C70-'Peak Flow Calcs'!C61)/12)*Summary!$E$9*43560))</f>
        <v>0</v>
      </c>
      <c r="F47" s="910"/>
      <c r="G47" s="910"/>
      <c r="H47" s="910"/>
      <c r="I47" s="489"/>
      <c r="J47" s="83"/>
      <c r="K47" s="84"/>
      <c r="L47" s="176"/>
      <c r="M47" s="85"/>
      <c r="N47" s="80" t="s">
        <v>256</v>
      </c>
      <c r="O47" s="85" t="s">
        <v>395</v>
      </c>
      <c r="P47" s="85" t="s">
        <v>395</v>
      </c>
      <c r="Q47" s="85">
        <v>1</v>
      </c>
      <c r="R47" s="85"/>
      <c r="S47" s="85"/>
      <c r="T47" s="85"/>
      <c r="U47" s="85"/>
      <c r="V47" s="85"/>
      <c r="W47" s="85"/>
      <c r="X47" s="113"/>
      <c r="Y47" s="926"/>
      <c r="Z47" s="926"/>
      <c r="AA47" s="926"/>
      <c r="AB47" s="926"/>
      <c r="AC47" s="926"/>
    </row>
    <row r="48" spans="1:29" ht="15" customHeight="1">
      <c r="A48" s="82"/>
      <c r="B48" s="924"/>
      <c r="C48" s="923"/>
      <c r="D48" s="406" t="s">
        <v>288</v>
      </c>
      <c r="E48" s="910">
        <f>IF('Post-Development'!F41=0,0,IF('Peak Flow Calcs'!F70-'Peak Flow Calcs'!F61&lt;=0,"N/A",(('Peak Flow Calcs'!F70-'Peak Flow Calcs'!F61)/12)*Summary!$E$9*43560))</f>
        <v>0</v>
      </c>
      <c r="F48" s="910"/>
      <c r="G48" s="910"/>
      <c r="H48" s="910"/>
      <c r="I48" s="489"/>
      <c r="J48" s="83"/>
      <c r="K48" s="84"/>
      <c r="L48" s="176"/>
      <c r="M48" s="85"/>
      <c r="N48" s="80" t="s">
        <v>254</v>
      </c>
      <c r="O48" s="85" t="s">
        <v>395</v>
      </c>
      <c r="P48" s="85" t="s">
        <v>395</v>
      </c>
      <c r="Q48" s="85">
        <v>1</v>
      </c>
      <c r="R48" s="85"/>
      <c r="S48" s="85"/>
      <c r="T48" s="85"/>
      <c r="U48" s="85"/>
      <c r="V48" s="85"/>
      <c r="W48" s="85"/>
      <c r="X48" s="113"/>
      <c r="Y48" s="926"/>
      <c r="Z48" s="926"/>
      <c r="AA48" s="926"/>
      <c r="AB48" s="926"/>
      <c r="AC48" s="926"/>
    </row>
    <row r="49" spans="1:29" ht="15" customHeight="1">
      <c r="A49" s="82"/>
      <c r="B49" s="924"/>
      <c r="C49" s="923"/>
      <c r="D49" s="406" t="s">
        <v>289</v>
      </c>
      <c r="E49" s="910">
        <f>IF('Post-Development'!F41=0,0,IF('Peak Flow Calcs'!C71-'Peak Flow Calcs'!C62&lt;=0,"N/A",(('Peak Flow Calcs'!C71-'Peak Flow Calcs'!C62)/12)*Summary!$E$9*43560))</f>
        <v>0</v>
      </c>
      <c r="F49" s="910"/>
      <c r="G49" s="910"/>
      <c r="H49" s="910"/>
      <c r="I49" s="489"/>
      <c r="J49" s="83"/>
      <c r="K49" s="84"/>
      <c r="L49" s="176"/>
      <c r="M49" s="85"/>
      <c r="N49" s="85" t="s">
        <v>378</v>
      </c>
      <c r="O49" s="85" t="s">
        <v>396</v>
      </c>
      <c r="P49" s="85" t="s">
        <v>395</v>
      </c>
      <c r="Q49" s="85">
        <v>1</v>
      </c>
      <c r="R49" s="85"/>
      <c r="S49" s="85"/>
      <c r="T49" s="85"/>
      <c r="U49" s="85"/>
      <c r="V49" s="85"/>
      <c r="W49" s="85"/>
      <c r="X49" s="113"/>
      <c r="Y49" s="926"/>
      <c r="Z49" s="926"/>
      <c r="AA49" s="926"/>
      <c r="AB49" s="926"/>
      <c r="AC49" s="926"/>
    </row>
    <row r="50" spans="1:29" ht="15" customHeight="1">
      <c r="A50" s="82"/>
      <c r="B50" s="83"/>
      <c r="C50" s="83"/>
      <c r="D50" s="406" t="s">
        <v>290</v>
      </c>
      <c r="E50" s="910">
        <f>IF('Post-Development'!F41=0,0,IF('Peak Flow Calcs'!F71-'Peak Flow Calcs'!F62&lt;=0,"N/A",(('Peak Flow Calcs'!F71-'Peak Flow Calcs'!F62)/12)*Summary!$E$9*43560))</f>
        <v>0</v>
      </c>
      <c r="F50" s="910"/>
      <c r="G50" s="910"/>
      <c r="H50" s="910"/>
      <c r="I50" s="489"/>
      <c r="J50" s="83"/>
      <c r="K50" s="84"/>
      <c r="L50" s="176"/>
      <c r="M50" s="85"/>
      <c r="N50" s="80" t="s">
        <v>280</v>
      </c>
      <c r="O50" s="85" t="s">
        <v>395</v>
      </c>
      <c r="P50" s="85" t="s">
        <v>396</v>
      </c>
      <c r="Q50" s="85">
        <v>1</v>
      </c>
      <c r="R50" s="85"/>
      <c r="S50" s="85"/>
      <c r="T50" s="85"/>
      <c r="U50" s="85"/>
      <c r="V50" s="85"/>
      <c r="W50" s="85"/>
      <c r="X50" s="113"/>
      <c r="Y50" s="400"/>
      <c r="Z50" s="400"/>
      <c r="AA50" s="400"/>
      <c r="AB50" s="400"/>
      <c r="AC50" s="400"/>
    </row>
    <row r="51" spans="1:29" ht="15.75" customHeight="1" thickBot="1">
      <c r="A51" s="409"/>
      <c r="B51" s="410"/>
      <c r="C51" s="410"/>
      <c r="D51" s="410"/>
      <c r="E51" s="410"/>
      <c r="F51" s="410"/>
      <c r="G51" s="410"/>
      <c r="H51" s="410"/>
      <c r="I51" s="410"/>
      <c r="J51" s="411"/>
      <c r="K51" s="412"/>
      <c r="L51" s="176"/>
      <c r="M51" s="85"/>
      <c r="N51" s="162" t="s">
        <v>281</v>
      </c>
      <c r="O51" s="85" t="s">
        <v>395</v>
      </c>
      <c r="P51" s="85" t="s">
        <v>395</v>
      </c>
      <c r="Q51" s="85">
        <v>1</v>
      </c>
      <c r="R51" s="85"/>
      <c r="S51" s="85"/>
      <c r="T51" s="85"/>
      <c r="U51" s="85"/>
      <c r="V51" s="85"/>
      <c r="W51" s="85"/>
      <c r="X51" s="113"/>
      <c r="Y51" s="400"/>
      <c r="Z51" s="400"/>
      <c r="AA51" s="400"/>
      <c r="AB51" s="400"/>
      <c r="AC51" s="400"/>
    </row>
    <row r="52" spans="2:29" ht="15.75" customHeight="1">
      <c r="B52" s="603">
        <f>IF(COUNTIF(D8:D27,"Cistern")&gt;0,"Cisterns must be designed to DWQ standards. Use Rain Barrels for non DWQ approved storage device.",0)</f>
        <v>0</v>
      </c>
      <c r="L52" s="176"/>
      <c r="M52" s="85"/>
      <c r="N52" s="162" t="s">
        <v>81</v>
      </c>
      <c r="O52" s="85" t="s">
        <v>395</v>
      </c>
      <c r="P52" s="85" t="s">
        <v>395</v>
      </c>
      <c r="Q52" s="85">
        <v>1</v>
      </c>
      <c r="R52" s="85"/>
      <c r="S52" s="85"/>
      <c r="T52" s="85"/>
      <c r="U52" s="85"/>
      <c r="V52" s="85"/>
      <c r="W52" s="85"/>
      <c r="X52" s="113"/>
      <c r="Y52" s="400"/>
      <c r="Z52" s="400"/>
      <c r="AA52" s="400"/>
      <c r="AB52" s="400"/>
      <c r="AC52" s="400"/>
    </row>
    <row r="53" spans="12:29" ht="15.75" customHeight="1">
      <c r="L53" s="176"/>
      <c r="M53" s="85"/>
      <c r="N53" s="80" t="s">
        <v>277</v>
      </c>
      <c r="O53" s="85" t="s">
        <v>395</v>
      </c>
      <c r="P53" s="85" t="s">
        <v>396</v>
      </c>
      <c r="Q53" s="85">
        <v>1</v>
      </c>
      <c r="R53" s="85"/>
      <c r="S53" s="85"/>
      <c r="T53" s="85"/>
      <c r="U53" s="85"/>
      <c r="V53" s="85"/>
      <c r="W53" s="85"/>
      <c r="X53" s="113"/>
      <c r="Y53" s="400"/>
      <c r="Z53" s="400"/>
      <c r="AA53" s="400"/>
      <c r="AB53" s="400"/>
      <c r="AC53" s="400"/>
    </row>
    <row r="54" spans="12:29" ht="15.75" customHeight="1">
      <c r="L54" s="176"/>
      <c r="M54" s="85"/>
      <c r="N54" s="162" t="s">
        <v>282</v>
      </c>
      <c r="O54" s="85" t="s">
        <v>395</v>
      </c>
      <c r="P54" s="85" t="s">
        <v>396</v>
      </c>
      <c r="Q54" s="85">
        <v>1</v>
      </c>
      <c r="R54" s="85"/>
      <c r="S54" s="85"/>
      <c r="T54" s="85"/>
      <c r="U54" s="85"/>
      <c r="V54" s="85"/>
      <c r="W54" s="85"/>
      <c r="X54" s="113"/>
      <c r="Y54" s="400"/>
      <c r="Z54" s="400"/>
      <c r="AA54" s="400"/>
      <c r="AB54" s="400"/>
      <c r="AC54" s="400"/>
    </row>
    <row r="55" spans="12:28" ht="12" customHeight="1">
      <c r="L55" s="115"/>
      <c r="M55" s="85"/>
      <c r="N55" s="80" t="s">
        <v>377</v>
      </c>
      <c r="O55" s="85" t="s">
        <v>396</v>
      </c>
      <c r="P55" s="85" t="s">
        <v>395</v>
      </c>
      <c r="Q55" s="85">
        <v>1</v>
      </c>
      <c r="R55" s="85"/>
      <c r="S55" s="85"/>
      <c r="T55" s="85"/>
      <c r="U55" s="85"/>
      <c r="V55" s="85"/>
      <c r="W55" s="85"/>
      <c r="X55" s="113"/>
      <c r="Y55" s="113"/>
      <c r="Z55" s="103"/>
      <c r="AA55" s="175"/>
      <c r="AB55" s="85"/>
    </row>
    <row r="56" spans="12:28" ht="9" customHeight="1">
      <c r="L56" s="115"/>
      <c r="M56" s="85"/>
      <c r="N56" s="80" t="s">
        <v>279</v>
      </c>
      <c r="O56" s="85" t="s">
        <v>395</v>
      </c>
      <c r="P56" s="85" t="s">
        <v>395</v>
      </c>
      <c r="Q56" s="85">
        <v>1</v>
      </c>
      <c r="R56" s="85"/>
      <c r="S56" s="85"/>
      <c r="T56" s="85"/>
      <c r="U56" s="85"/>
      <c r="V56" s="85"/>
      <c r="W56" s="85"/>
      <c r="X56" s="113"/>
      <c r="Y56" s="113"/>
      <c r="Z56" s="103"/>
      <c r="AA56" s="175"/>
      <c r="AB56" s="85"/>
    </row>
    <row r="57" spans="2:28" ht="12.75">
      <c r="B57" s="80"/>
      <c r="C57" s="80"/>
      <c r="D57" s="80"/>
      <c r="E57" s="80"/>
      <c r="F57" s="80"/>
      <c r="G57" s="80"/>
      <c r="H57" s="80"/>
      <c r="I57" s="80"/>
      <c r="J57" s="80"/>
      <c r="K57" s="80"/>
      <c r="M57" s="85"/>
      <c r="N57" s="80" t="s">
        <v>278</v>
      </c>
      <c r="O57" s="85" t="s">
        <v>396</v>
      </c>
      <c r="P57" s="85" t="s">
        <v>396</v>
      </c>
      <c r="Q57" s="85">
        <v>2</v>
      </c>
      <c r="R57" s="85"/>
      <c r="S57" s="85"/>
      <c r="T57" s="85"/>
      <c r="U57" s="85"/>
      <c r="V57" s="85"/>
      <c r="W57" s="85"/>
      <c r="X57" s="113"/>
      <c r="Y57" s="113"/>
      <c r="Z57" s="103"/>
      <c r="AA57" s="175"/>
      <c r="AB57" s="85"/>
    </row>
    <row r="58" spans="2:28" ht="12.75">
      <c r="B58" s="80"/>
      <c r="C58" s="80"/>
      <c r="D58" s="80"/>
      <c r="E58" s="80"/>
      <c r="F58" s="80"/>
      <c r="G58" s="80"/>
      <c r="H58" s="80"/>
      <c r="I58" s="80"/>
      <c r="J58" s="80"/>
      <c r="K58" s="80"/>
      <c r="M58" s="85"/>
      <c r="N58" s="162" t="s">
        <v>376</v>
      </c>
      <c r="O58" s="85" t="s">
        <v>396</v>
      </c>
      <c r="P58" s="85" t="s">
        <v>395</v>
      </c>
      <c r="Q58" s="85">
        <v>1</v>
      </c>
      <c r="R58" s="85"/>
      <c r="S58" s="85"/>
      <c r="T58" s="85"/>
      <c r="U58" s="85"/>
      <c r="V58" s="85"/>
      <c r="W58" s="85"/>
      <c r="X58" s="113"/>
      <c r="Y58" s="113"/>
      <c r="Z58" s="103"/>
      <c r="AA58" s="175"/>
      <c r="AB58" s="85"/>
    </row>
    <row r="59" spans="2:28" ht="12.75">
      <c r="B59" s="80"/>
      <c r="C59" s="80"/>
      <c r="D59" s="80"/>
      <c r="E59" s="80"/>
      <c r="F59" s="80"/>
      <c r="G59" s="80"/>
      <c r="H59" s="80"/>
      <c r="I59" s="80"/>
      <c r="J59" s="80"/>
      <c r="K59" s="80"/>
      <c r="M59" s="85"/>
      <c r="N59" s="162" t="s">
        <v>375</v>
      </c>
      <c r="O59" s="85" t="s">
        <v>395</v>
      </c>
      <c r="P59" s="85" t="s">
        <v>395</v>
      </c>
      <c r="Q59" s="85">
        <v>1</v>
      </c>
      <c r="R59" s="85"/>
      <c r="S59" s="85"/>
      <c r="T59" s="85"/>
      <c r="U59" s="85"/>
      <c r="V59" s="85"/>
      <c r="W59" s="85"/>
      <c r="X59" s="113"/>
      <c r="Y59" s="113"/>
      <c r="Z59" s="103"/>
      <c r="AA59" s="175"/>
      <c r="AB59" s="85"/>
    </row>
    <row r="60" spans="2:28" ht="12.75">
      <c r="B60" s="80"/>
      <c r="C60" s="80"/>
      <c r="D60" s="80"/>
      <c r="E60" s="80"/>
      <c r="F60" s="80"/>
      <c r="G60" s="80"/>
      <c r="H60" s="80"/>
      <c r="I60" s="80"/>
      <c r="J60" s="80"/>
      <c r="K60" s="80"/>
      <c r="M60" s="85"/>
      <c r="N60" s="162" t="s">
        <v>255</v>
      </c>
      <c r="O60" s="85" t="s">
        <v>395</v>
      </c>
      <c r="P60" s="85" t="s">
        <v>395</v>
      </c>
      <c r="Q60" s="85">
        <v>1</v>
      </c>
      <c r="R60" s="85"/>
      <c r="S60" s="85"/>
      <c r="T60" s="85"/>
      <c r="U60" s="85"/>
      <c r="V60" s="85"/>
      <c r="W60" s="85"/>
      <c r="X60" s="113"/>
      <c r="Y60" s="113"/>
      <c r="Z60" s="103"/>
      <c r="AA60" s="175"/>
      <c r="AB60" s="85"/>
    </row>
    <row r="61" spans="2:130" ht="12.75">
      <c r="B61" s="80"/>
      <c r="C61" s="80"/>
      <c r="D61" s="80"/>
      <c r="E61" s="80"/>
      <c r="F61" s="80"/>
      <c r="G61" s="80"/>
      <c r="H61" s="80"/>
      <c r="I61" s="80"/>
      <c r="J61" s="80"/>
      <c r="K61" s="80"/>
      <c r="M61" s="85"/>
      <c r="N61" s="80" t="s">
        <v>442</v>
      </c>
      <c r="O61" s="85"/>
      <c r="P61" s="85"/>
      <c r="Q61" s="99" t="s">
        <v>384</v>
      </c>
      <c r="R61" s="99" t="s">
        <v>385</v>
      </c>
      <c r="S61" s="99" t="s">
        <v>386</v>
      </c>
      <c r="T61" s="99" t="s">
        <v>387</v>
      </c>
      <c r="U61" s="111" t="s">
        <v>443</v>
      </c>
      <c r="V61" s="99"/>
      <c r="Y61" s="103"/>
      <c r="Z61" s="175"/>
      <c r="AA61" s="85"/>
      <c r="CH61" s="171"/>
      <c r="DZ61" s="81"/>
    </row>
    <row r="62" spans="2:130" ht="12.75">
      <c r="B62" s="80"/>
      <c r="C62" s="80"/>
      <c r="D62" s="80"/>
      <c r="E62" s="80"/>
      <c r="F62" s="80"/>
      <c r="G62" s="80"/>
      <c r="H62" s="80"/>
      <c r="I62" s="80"/>
      <c r="J62" s="80"/>
      <c r="K62" s="80"/>
      <c r="M62" s="85"/>
      <c r="N62" s="162" t="s">
        <v>380</v>
      </c>
      <c r="O62" s="85"/>
      <c r="P62" s="85"/>
      <c r="Q62" s="85"/>
      <c r="R62" s="85"/>
      <c r="S62" s="85"/>
      <c r="T62" s="85"/>
      <c r="U62" s="113"/>
      <c r="V62" s="85"/>
      <c r="Y62" s="103"/>
      <c r="Z62" s="175"/>
      <c r="AA62" s="85"/>
      <c r="CH62" s="171"/>
      <c r="DZ62" s="81"/>
    </row>
    <row r="63" spans="2:130" ht="12.75">
      <c r="B63" s="80"/>
      <c r="C63" s="80"/>
      <c r="D63" s="80"/>
      <c r="E63" s="80"/>
      <c r="F63" s="80"/>
      <c r="G63" s="80"/>
      <c r="H63" s="80"/>
      <c r="I63" s="80"/>
      <c r="J63" s="80"/>
      <c r="K63" s="80"/>
      <c r="M63" s="85"/>
      <c r="N63" s="162" t="s">
        <v>394</v>
      </c>
      <c r="Y63" s="103"/>
      <c r="Z63" s="175"/>
      <c r="AA63" s="85"/>
      <c r="CH63" s="171"/>
      <c r="DZ63" s="81"/>
    </row>
    <row r="64" spans="2:130" ht="17.25" customHeight="1">
      <c r="B64" s="80"/>
      <c r="C64" s="80"/>
      <c r="D64" s="80"/>
      <c r="E64" s="80"/>
      <c r="F64" s="80"/>
      <c r="G64" s="80"/>
      <c r="H64" s="80"/>
      <c r="I64" s="80"/>
      <c r="J64" s="80"/>
      <c r="K64" s="80"/>
      <c r="M64" s="85"/>
      <c r="N64" s="162" t="s">
        <v>80</v>
      </c>
      <c r="O64" s="85"/>
      <c r="P64" s="85"/>
      <c r="Q64" s="85">
        <v>0.85</v>
      </c>
      <c r="R64" s="85">
        <v>0.35</v>
      </c>
      <c r="S64" s="85">
        <v>0.45</v>
      </c>
      <c r="T64" s="85">
        <v>0.99</v>
      </c>
      <c r="U64" s="117">
        <v>0.66</v>
      </c>
      <c r="V64" s="85"/>
      <c r="Y64" s="103"/>
      <c r="Z64" s="175"/>
      <c r="AA64" s="85"/>
      <c r="CH64" s="171"/>
      <c r="DZ64" s="81"/>
    </row>
    <row r="65" spans="2:130" ht="12.75">
      <c r="B65" s="80"/>
      <c r="C65" s="80"/>
      <c r="D65" s="80"/>
      <c r="E65" s="80"/>
      <c r="F65" s="80"/>
      <c r="G65" s="80"/>
      <c r="H65" s="80"/>
      <c r="I65" s="80"/>
      <c r="J65" s="80"/>
      <c r="K65" s="80"/>
      <c r="M65" s="85"/>
      <c r="N65" s="162" t="s">
        <v>476</v>
      </c>
      <c r="O65" s="85"/>
      <c r="P65" s="85"/>
      <c r="Q65" s="85"/>
      <c r="R65" s="85"/>
      <c r="S65" s="85"/>
      <c r="T65" s="85">
        <v>0.66</v>
      </c>
      <c r="U65" s="117"/>
      <c r="V65" s="85"/>
      <c r="Y65" s="85"/>
      <c r="Z65" s="85"/>
      <c r="AA65" s="85"/>
      <c r="CH65" s="171"/>
      <c r="DZ65" s="81"/>
    </row>
    <row r="66" spans="2:130" ht="12.75">
      <c r="B66" s="80"/>
      <c r="C66" s="80"/>
      <c r="D66" s="80"/>
      <c r="E66" s="80"/>
      <c r="F66" s="80"/>
      <c r="G66" s="80"/>
      <c r="H66" s="80"/>
      <c r="I66" s="80"/>
      <c r="J66" s="80"/>
      <c r="K66" s="80"/>
      <c r="M66" s="85"/>
      <c r="N66" s="80" t="s">
        <v>256</v>
      </c>
      <c r="O66" s="85"/>
      <c r="P66" s="85"/>
      <c r="Q66" s="85">
        <v>0.85</v>
      </c>
      <c r="R66" s="85">
        <v>0.4</v>
      </c>
      <c r="S66" s="85">
        <v>0.35</v>
      </c>
      <c r="T66" s="85">
        <v>0.66</v>
      </c>
      <c r="U66" s="117">
        <v>0.33</v>
      </c>
      <c r="V66" s="85"/>
      <c r="Y66" s="85"/>
      <c r="Z66" s="85"/>
      <c r="AA66" s="85"/>
      <c r="CH66" s="171"/>
      <c r="DZ66" s="81"/>
    </row>
    <row r="67" spans="2:130" ht="12.75">
      <c r="B67" s="80"/>
      <c r="C67" s="80"/>
      <c r="D67" s="80"/>
      <c r="E67" s="80"/>
      <c r="F67" s="80"/>
      <c r="G67" s="80"/>
      <c r="H67" s="80"/>
      <c r="I67" s="80"/>
      <c r="J67" s="80"/>
      <c r="K67" s="80"/>
      <c r="M67" s="85"/>
      <c r="N67" s="80" t="s">
        <v>254</v>
      </c>
      <c r="P67" s="85"/>
      <c r="Q67" s="80">
        <v>0.5</v>
      </c>
      <c r="R67" s="80">
        <v>0.1</v>
      </c>
      <c r="S67" s="80">
        <v>0.1</v>
      </c>
      <c r="T67" s="80">
        <v>0.66</v>
      </c>
      <c r="U67" s="80">
        <v>0.66</v>
      </c>
      <c r="Y67" s="85"/>
      <c r="Z67" s="85"/>
      <c r="AA67" s="85"/>
      <c r="CH67" s="171"/>
      <c r="DZ67" s="81"/>
    </row>
    <row r="68" spans="2:130" ht="12.75">
      <c r="B68" s="80"/>
      <c r="C68" s="80"/>
      <c r="D68" s="80"/>
      <c r="E68" s="80"/>
      <c r="F68" s="80"/>
      <c r="G68" s="80"/>
      <c r="H68" s="80"/>
      <c r="I68" s="80"/>
      <c r="J68" s="80"/>
      <c r="K68" s="80"/>
      <c r="N68" s="85" t="s">
        <v>378</v>
      </c>
      <c r="Q68" s="80">
        <v>0.25</v>
      </c>
      <c r="R68" s="80">
        <v>0.2</v>
      </c>
      <c r="S68" s="80">
        <v>0.35</v>
      </c>
      <c r="T68" s="80">
        <v>0.66</v>
      </c>
      <c r="U68" s="80">
        <v>0.99</v>
      </c>
      <c r="CH68" s="171"/>
      <c r="DZ68" s="81"/>
    </row>
    <row r="69" spans="2:130" ht="12.75">
      <c r="B69" s="80"/>
      <c r="C69" s="80"/>
      <c r="D69" s="80"/>
      <c r="E69" s="80"/>
      <c r="F69" s="80"/>
      <c r="G69" s="80"/>
      <c r="H69" s="80"/>
      <c r="I69" s="80"/>
      <c r="J69" s="80"/>
      <c r="K69" s="80"/>
      <c r="N69" s="80" t="s">
        <v>280</v>
      </c>
      <c r="Q69" s="80">
        <v>0</v>
      </c>
      <c r="R69" s="80">
        <v>0</v>
      </c>
      <c r="S69" s="80">
        <v>0</v>
      </c>
      <c r="T69" s="80">
        <v>0.33</v>
      </c>
      <c r="U69" s="80">
        <v>0.66</v>
      </c>
      <c r="CH69" s="171"/>
      <c r="DZ69" s="81"/>
    </row>
    <row r="70" spans="2:130" ht="12.75">
      <c r="B70" s="80"/>
      <c r="C70" s="80"/>
      <c r="D70" s="80"/>
      <c r="E70" s="80"/>
      <c r="F70" s="80"/>
      <c r="G70" s="80"/>
      <c r="H70" s="80"/>
      <c r="I70" s="80"/>
      <c r="J70" s="80"/>
      <c r="K70" s="80"/>
      <c r="N70" s="162" t="s">
        <v>281</v>
      </c>
      <c r="Q70" s="80">
        <v>0.85</v>
      </c>
      <c r="R70" s="80">
        <v>0.3</v>
      </c>
      <c r="S70" s="80">
        <v>0.35</v>
      </c>
      <c r="T70" s="80">
        <v>0.99</v>
      </c>
      <c r="U70" s="80">
        <v>0.99</v>
      </c>
      <c r="CH70" s="171"/>
      <c r="DZ70" s="81"/>
    </row>
    <row r="71" spans="2:130" ht="12.75">
      <c r="B71" s="80"/>
      <c r="C71" s="80"/>
      <c r="D71" s="80"/>
      <c r="E71" s="80"/>
      <c r="F71" s="80"/>
      <c r="G71" s="80"/>
      <c r="H71" s="80"/>
      <c r="I71" s="80"/>
      <c r="J71" s="80"/>
      <c r="K71" s="80"/>
      <c r="N71" s="162" t="s">
        <v>81</v>
      </c>
      <c r="Q71" s="80">
        <v>0.85</v>
      </c>
      <c r="R71" s="80">
        <v>0.3</v>
      </c>
      <c r="S71" s="80">
        <v>0.35</v>
      </c>
      <c r="T71" s="80">
        <v>0.99</v>
      </c>
      <c r="U71" s="80">
        <v>0.99</v>
      </c>
      <c r="CH71" s="171"/>
      <c r="DZ71" s="81"/>
    </row>
    <row r="72" spans="1:130" ht="12.75">
      <c r="A72" s="80"/>
      <c r="B72" s="80"/>
      <c r="C72" s="80"/>
      <c r="D72" s="80"/>
      <c r="E72" s="80"/>
      <c r="F72" s="80"/>
      <c r="G72" s="80"/>
      <c r="H72" s="80"/>
      <c r="I72" s="80"/>
      <c r="J72" s="80"/>
      <c r="K72" s="80"/>
      <c r="N72" s="80" t="s">
        <v>277</v>
      </c>
      <c r="Q72" s="80">
        <v>0</v>
      </c>
      <c r="R72" s="80">
        <v>0</v>
      </c>
      <c r="S72" s="80">
        <v>0</v>
      </c>
      <c r="T72" s="80">
        <v>0.33</v>
      </c>
      <c r="U72" s="80">
        <v>0.66</v>
      </c>
      <c r="CH72" s="171"/>
      <c r="DZ72" s="81"/>
    </row>
    <row r="73" spans="1:130" ht="12.75">
      <c r="A73" s="80"/>
      <c r="B73" s="80"/>
      <c r="C73" s="80"/>
      <c r="D73" s="80"/>
      <c r="E73" s="80"/>
      <c r="F73" s="80"/>
      <c r="G73" s="80"/>
      <c r="H73" s="80"/>
      <c r="I73" s="80"/>
      <c r="J73" s="80"/>
      <c r="K73" s="80"/>
      <c r="N73" s="162" t="s">
        <v>282</v>
      </c>
      <c r="CH73" s="171"/>
      <c r="DZ73" s="81"/>
    </row>
    <row r="74" spans="1:130" ht="12.75">
      <c r="A74" s="80"/>
      <c r="B74" s="80"/>
      <c r="C74" s="80"/>
      <c r="D74" s="80"/>
      <c r="E74" s="80"/>
      <c r="F74" s="80"/>
      <c r="G74" s="80"/>
      <c r="H74" s="80"/>
      <c r="I74" s="80"/>
      <c r="J74" s="80"/>
      <c r="K74" s="80"/>
      <c r="N74" s="80" t="s">
        <v>377</v>
      </c>
      <c r="Q74" s="80">
        <v>0.6</v>
      </c>
      <c r="R74" s="80">
        <v>0.3</v>
      </c>
      <c r="S74" s="80">
        <v>0.35</v>
      </c>
      <c r="T74" s="80">
        <v>0.66</v>
      </c>
      <c r="U74" s="80">
        <v>0.99</v>
      </c>
      <c r="CH74" s="171"/>
      <c r="DZ74" s="81"/>
    </row>
    <row r="75" spans="1:130" ht="12.75">
      <c r="A75" s="80"/>
      <c r="B75" s="80"/>
      <c r="C75" s="80"/>
      <c r="D75" s="80"/>
      <c r="E75" s="80"/>
      <c r="F75" s="80"/>
      <c r="G75" s="80"/>
      <c r="H75" s="80"/>
      <c r="I75" s="80"/>
      <c r="J75" s="80"/>
      <c r="K75" s="80"/>
      <c r="N75" s="80" t="s">
        <v>279</v>
      </c>
      <c r="Q75" s="80">
        <v>0.85</v>
      </c>
      <c r="R75" s="80">
        <v>0.35</v>
      </c>
      <c r="S75" s="80">
        <v>0.45</v>
      </c>
      <c r="T75" s="80">
        <v>0.99</v>
      </c>
      <c r="U75" s="80">
        <v>0.66</v>
      </c>
      <c r="CH75" s="171"/>
      <c r="DZ75" s="81"/>
    </row>
    <row r="76" spans="1:130" ht="12.75">
      <c r="A76" s="80"/>
      <c r="B76" s="80"/>
      <c r="C76" s="80"/>
      <c r="D76" s="80"/>
      <c r="E76" s="80"/>
      <c r="F76" s="80"/>
      <c r="G76" s="80"/>
      <c r="H76" s="80"/>
      <c r="I76" s="80"/>
      <c r="J76" s="80"/>
      <c r="K76" s="80"/>
      <c r="N76" s="80" t="s">
        <v>278</v>
      </c>
      <c r="CH76" s="171"/>
      <c r="DZ76" s="81"/>
    </row>
    <row r="77" spans="1:130" ht="12.75">
      <c r="A77" s="80"/>
      <c r="B77" s="80"/>
      <c r="C77" s="80"/>
      <c r="D77" s="80"/>
      <c r="E77" s="80"/>
      <c r="F77" s="80"/>
      <c r="G77" s="80"/>
      <c r="H77" s="80"/>
      <c r="I77" s="80"/>
      <c r="J77" s="80"/>
      <c r="K77" s="80"/>
      <c r="N77" s="162" t="s">
        <v>376</v>
      </c>
      <c r="Q77" s="80">
        <v>0.35</v>
      </c>
      <c r="R77" s="80">
        <v>0.2</v>
      </c>
      <c r="S77" s="80">
        <v>0.2</v>
      </c>
      <c r="T77" s="80">
        <v>0.33</v>
      </c>
      <c r="U77" s="80">
        <v>0.99</v>
      </c>
      <c r="CH77" s="171"/>
      <c r="DZ77" s="81"/>
    </row>
    <row r="78" spans="1:130" ht="12.75">
      <c r="A78" s="80"/>
      <c r="B78" s="80"/>
      <c r="C78" s="80"/>
      <c r="D78" s="80"/>
      <c r="E78" s="80"/>
      <c r="F78" s="80"/>
      <c r="G78" s="80"/>
      <c r="H78" s="80"/>
      <c r="I78" s="80"/>
      <c r="J78" s="80"/>
      <c r="K78" s="80"/>
      <c r="N78" s="162" t="s">
        <v>375</v>
      </c>
      <c r="Q78" s="80">
        <v>0.35</v>
      </c>
      <c r="R78" s="80">
        <v>0.2</v>
      </c>
      <c r="S78" s="80">
        <v>0.2</v>
      </c>
      <c r="T78" s="80">
        <v>0.33</v>
      </c>
      <c r="U78" s="80">
        <v>0.99</v>
      </c>
      <c r="CH78" s="171"/>
      <c r="DZ78" s="81"/>
    </row>
    <row r="79" spans="1:130" ht="12.75">
      <c r="A79" s="80"/>
      <c r="B79" s="80"/>
      <c r="C79" s="80"/>
      <c r="D79" s="80"/>
      <c r="E79" s="80"/>
      <c r="F79" s="80"/>
      <c r="G79" s="80"/>
      <c r="H79" s="80"/>
      <c r="I79" s="80"/>
      <c r="J79" s="80"/>
      <c r="K79" s="80"/>
      <c r="N79" s="162" t="s">
        <v>255</v>
      </c>
      <c r="Q79" s="80">
        <v>0.85</v>
      </c>
      <c r="R79" s="80">
        <v>0.25</v>
      </c>
      <c r="S79" s="80">
        <v>0.4</v>
      </c>
      <c r="T79" s="80">
        <v>0.66</v>
      </c>
      <c r="U79" s="80">
        <v>0.33</v>
      </c>
      <c r="CH79" s="171"/>
      <c r="DZ79" s="81"/>
    </row>
    <row r="80" spans="1:11" ht="12.75">
      <c r="A80" s="80"/>
      <c r="B80" s="80"/>
      <c r="C80" s="80"/>
      <c r="D80" s="80"/>
      <c r="E80" s="80"/>
      <c r="F80" s="80"/>
      <c r="G80" s="80"/>
      <c r="H80" s="80"/>
      <c r="I80" s="80"/>
      <c r="J80" s="80"/>
      <c r="K80" s="80"/>
    </row>
    <row r="81" spans="87:130" s="80" customFormat="1" ht="12.75">
      <c r="CI81" s="171"/>
      <c r="CJ81" s="171"/>
      <c r="CK81" s="171"/>
      <c r="CL81" s="171"/>
      <c r="CM81" s="171"/>
      <c r="CN81" s="171"/>
      <c r="CO81" s="171"/>
      <c r="CP81" s="171"/>
      <c r="CQ81" s="171"/>
      <c r="CR81" s="171"/>
      <c r="CS81" s="171"/>
      <c r="CT81" s="171"/>
      <c r="CU81" s="171"/>
      <c r="CV81" s="171"/>
      <c r="CW81" s="171"/>
      <c r="CX81" s="171"/>
      <c r="CY81" s="171"/>
      <c r="CZ81" s="171"/>
      <c r="DA81" s="171"/>
      <c r="DB81" s="171"/>
      <c r="DC81" s="171"/>
      <c r="DD81" s="171"/>
      <c r="DE81" s="171"/>
      <c r="DF81" s="171"/>
      <c r="DG81" s="171"/>
      <c r="DH81" s="171"/>
      <c r="DI81" s="171"/>
      <c r="DJ81" s="171"/>
      <c r="DK81" s="171"/>
      <c r="DL81" s="171"/>
      <c r="DM81" s="171"/>
      <c r="DN81" s="171"/>
      <c r="DO81" s="171"/>
      <c r="DP81" s="171"/>
      <c r="DQ81" s="171"/>
      <c r="DR81" s="171"/>
      <c r="DS81" s="171"/>
      <c r="DT81" s="171"/>
      <c r="DU81" s="171"/>
      <c r="DV81" s="171"/>
      <c r="DW81" s="171"/>
      <c r="DX81" s="171"/>
      <c r="DY81" s="171"/>
      <c r="DZ81" s="171"/>
    </row>
    <row r="82" spans="87:130" s="80" customFormat="1" ht="12.75">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171"/>
      <c r="DL82" s="171"/>
      <c r="DM82" s="171"/>
      <c r="DN82" s="171"/>
      <c r="DO82" s="171"/>
      <c r="DP82" s="171"/>
      <c r="DQ82" s="171"/>
      <c r="DR82" s="171"/>
      <c r="DS82" s="171"/>
      <c r="DT82" s="171"/>
      <c r="DU82" s="171"/>
      <c r="DV82" s="171"/>
      <c r="DW82" s="171"/>
      <c r="DX82" s="171"/>
      <c r="DY82" s="171"/>
      <c r="DZ82" s="171"/>
    </row>
    <row r="83" spans="87:130" s="80" customFormat="1" ht="12.75">
      <c r="CI83" s="171"/>
      <c r="CJ83" s="171"/>
      <c r="CK83" s="171"/>
      <c r="CL83" s="171"/>
      <c r="CM83" s="171"/>
      <c r="CN83" s="171"/>
      <c r="CO83" s="171"/>
      <c r="CP83" s="171"/>
      <c r="CQ83" s="171"/>
      <c r="CR83" s="171"/>
      <c r="CS83" s="171"/>
      <c r="CT83" s="171"/>
      <c r="CU83" s="171"/>
      <c r="CV83" s="171"/>
      <c r="CW83" s="171"/>
      <c r="CX83" s="171"/>
      <c r="CY83" s="171"/>
      <c r="CZ83" s="171"/>
      <c r="DA83" s="171"/>
      <c r="DB83" s="171"/>
      <c r="DC83" s="171"/>
      <c r="DD83" s="171"/>
      <c r="DE83" s="171"/>
      <c r="DF83" s="171"/>
      <c r="DG83" s="171"/>
      <c r="DH83" s="171"/>
      <c r="DI83" s="171"/>
      <c r="DJ83" s="171"/>
      <c r="DK83" s="171"/>
      <c r="DL83" s="171"/>
      <c r="DM83" s="171"/>
      <c r="DN83" s="171"/>
      <c r="DO83" s="171"/>
      <c r="DP83" s="171"/>
      <c r="DQ83" s="171"/>
      <c r="DR83" s="171"/>
      <c r="DS83" s="171"/>
      <c r="DT83" s="171"/>
      <c r="DU83" s="171"/>
      <c r="DV83" s="171"/>
      <c r="DW83" s="171"/>
      <c r="DX83" s="171"/>
      <c r="DY83" s="171"/>
      <c r="DZ83" s="171"/>
    </row>
    <row r="84" s="80" customFormat="1" ht="12.75"/>
    <row r="85" s="80" customFormat="1" ht="12.75"/>
    <row r="86" s="80" customFormat="1" ht="12.75"/>
    <row r="87" s="80" customFormat="1" ht="12.75"/>
    <row r="88" s="80" customFormat="1" ht="12.75"/>
    <row r="89" s="80" customFormat="1" ht="12.75"/>
    <row r="90" s="80" customFormat="1" ht="12.75"/>
    <row r="91" s="80" customFormat="1" ht="12.75"/>
    <row r="92" s="80" customFormat="1" ht="12.75"/>
    <row r="93" s="80" customFormat="1" ht="12.75"/>
    <row r="94" s="80" customFormat="1" ht="12.75"/>
    <row r="95" s="80" customFormat="1" ht="12.75"/>
    <row r="96" s="80" customFormat="1" ht="12.75"/>
    <row r="97" s="80" customFormat="1" ht="12.75"/>
    <row r="98" s="80" customFormat="1" ht="12.75"/>
    <row r="99" s="80" customFormat="1" ht="12.75"/>
    <row r="100" s="80" customFormat="1" ht="12.75"/>
    <row r="101" s="80" customFormat="1" ht="12.75"/>
    <row r="102" s="80" customFormat="1" ht="12.75"/>
    <row r="103" s="80" customFormat="1" ht="12.75"/>
    <row r="104" s="80" customFormat="1" ht="12.75"/>
    <row r="105" s="80" customFormat="1" ht="12.75"/>
    <row r="106" s="80" customFormat="1" ht="12.75"/>
    <row r="107" s="80" customFormat="1" ht="12.75"/>
    <row r="108" s="80" customFormat="1" ht="12.75"/>
    <row r="109" s="80" customFormat="1" ht="12.75"/>
    <row r="110" s="80" customFormat="1" ht="12.75"/>
    <row r="111" s="80" customFormat="1" ht="12.75"/>
    <row r="112" s="80" customFormat="1" ht="12.75"/>
    <row r="113" s="80" customFormat="1" ht="12.75"/>
    <row r="114" s="80" customFormat="1" ht="12.75"/>
    <row r="115" s="80" customFormat="1" ht="12.75"/>
    <row r="116" s="80" customFormat="1" ht="12.75"/>
    <row r="117" s="80" customFormat="1" ht="12.75"/>
    <row r="118" s="80" customFormat="1" ht="12.75"/>
    <row r="119" s="80" customFormat="1" ht="12.75"/>
    <row r="120" s="80" customFormat="1" ht="12.75"/>
    <row r="121" s="80" customFormat="1" ht="12.75"/>
    <row r="122" s="80" customFormat="1" ht="12.75"/>
    <row r="123" s="80" customFormat="1" ht="12.75"/>
    <row r="124" s="80" customFormat="1" ht="12.75"/>
    <row r="125" s="80" customFormat="1" ht="12.75"/>
    <row r="126" s="80" customFormat="1" ht="12.75"/>
    <row r="127" s="80" customFormat="1" ht="12.75"/>
    <row r="128" s="80" customFormat="1" ht="12.75"/>
    <row r="129" s="80" customFormat="1" ht="12.75"/>
    <row r="130" s="80" customFormat="1" ht="12.75"/>
    <row r="131" s="80" customFormat="1" ht="12.75"/>
    <row r="132" s="80" customFormat="1" ht="12.75"/>
    <row r="133" s="80" customFormat="1" ht="12.75"/>
    <row r="134" s="80" customFormat="1" ht="12.75"/>
    <row r="135" s="80" customFormat="1" ht="12.75"/>
    <row r="136" s="80" customFormat="1" ht="12.75"/>
    <row r="137" s="80" customFormat="1" ht="12.75"/>
    <row r="138" s="80" customFormat="1" ht="12.75"/>
    <row r="139" s="80" customFormat="1" ht="12.75"/>
    <row r="140" s="80" customFormat="1" ht="12.75"/>
    <row r="141" s="80" customFormat="1" ht="12.75"/>
    <row r="142" s="80" customFormat="1" ht="12.75"/>
    <row r="143" s="80" customFormat="1" ht="12.75"/>
    <row r="144" s="80" customFormat="1" ht="12.75"/>
    <row r="145" s="80" customFormat="1" ht="12.75"/>
    <row r="146" s="80" customFormat="1" ht="12.75"/>
    <row r="147" s="80" customFormat="1" ht="12.75"/>
    <row r="148" s="80" customFormat="1" ht="12.75"/>
    <row r="149" s="80" customFormat="1" ht="12.75"/>
    <row r="150" s="80" customFormat="1" ht="12.75"/>
    <row r="151" s="80" customFormat="1" ht="12.75"/>
    <row r="152" s="80" customFormat="1" ht="12.75"/>
    <row r="153" s="80" customFormat="1" ht="12.75"/>
    <row r="154" s="80" customFormat="1" ht="12.75"/>
    <row r="155" s="80" customFormat="1" ht="12.75"/>
    <row r="156" s="80" customFormat="1" ht="12.75"/>
    <row r="157" s="80" customFormat="1" ht="12.75"/>
    <row r="158" s="80" customFormat="1" ht="12.75"/>
    <row r="159" s="80" customFormat="1" ht="12.75"/>
    <row r="160" s="80" customFormat="1" ht="12.75"/>
    <row r="161" s="80" customFormat="1" ht="12.75"/>
    <row r="162" s="80" customFormat="1" ht="12.75"/>
    <row r="163" s="80" customFormat="1" ht="12.75"/>
    <row r="164" s="80" customFormat="1" ht="12.75"/>
    <row r="165" s="80" customFormat="1" ht="12.75"/>
    <row r="166" s="80" customFormat="1" ht="12.75"/>
    <row r="167" s="80" customFormat="1" ht="12.75"/>
    <row r="168" s="80" customFormat="1" ht="12.75"/>
    <row r="169" s="80" customFormat="1" ht="12.75"/>
    <row r="170" s="80" customFormat="1" ht="12.75"/>
    <row r="171" s="80" customFormat="1" ht="12.75"/>
    <row r="172" s="80" customFormat="1" ht="12.75"/>
    <row r="173" s="80" customFormat="1" ht="12.75"/>
    <row r="174" s="80" customFormat="1" ht="12.75"/>
    <row r="175" s="80" customFormat="1" ht="12.75"/>
    <row r="176" s="80" customFormat="1" ht="12.75"/>
    <row r="177" s="80" customFormat="1" ht="12.75"/>
    <row r="178" s="80" customFormat="1" ht="12.75"/>
    <row r="179" s="80" customFormat="1" ht="12.75"/>
    <row r="180" s="80" customFormat="1" ht="12.75"/>
    <row r="181" s="80" customFormat="1" ht="12.75"/>
    <row r="182" s="80" customFormat="1" ht="12.75"/>
    <row r="183" s="80" customFormat="1" ht="12.75"/>
    <row r="184" s="80" customFormat="1" ht="12.75"/>
    <row r="185" s="80" customFormat="1" ht="12.75"/>
    <row r="186" s="80" customFormat="1" ht="12.75"/>
    <row r="187" s="80" customFormat="1" ht="12.75"/>
    <row r="188" s="80" customFormat="1" ht="12.75"/>
    <row r="189" s="80" customFormat="1" ht="12.75"/>
    <row r="190" s="80" customFormat="1" ht="12.75"/>
    <row r="191" s="80" customFormat="1" ht="12.75"/>
    <row r="192" s="80" customFormat="1" ht="12.75"/>
    <row r="193" s="80" customFormat="1" ht="12.75"/>
    <row r="194" s="80" customFormat="1" ht="12.75"/>
    <row r="195" s="80" customFormat="1" ht="12.75"/>
    <row r="196" s="80" customFormat="1" ht="12.75"/>
    <row r="197" s="80" customFormat="1" ht="12.75"/>
    <row r="198" s="80" customFormat="1" ht="12.75"/>
    <row r="199" s="80" customFormat="1" ht="12.75"/>
    <row r="200" s="80" customFormat="1" ht="12.75"/>
    <row r="201" s="80" customFormat="1" ht="12.75"/>
    <row r="202" s="80" customFormat="1" ht="12.75"/>
    <row r="203" s="80" customFormat="1" ht="12.75"/>
    <row r="204" s="80" customFormat="1" ht="12.75"/>
    <row r="205" s="80" customFormat="1" ht="12.75"/>
    <row r="206" s="80" customFormat="1" ht="12.75"/>
    <row r="207" s="80" customFormat="1" ht="12.75"/>
    <row r="208" s="80" customFormat="1" ht="12.75"/>
    <row r="209" s="80" customFormat="1" ht="12.75"/>
    <row r="210" s="80" customFormat="1" ht="12.75"/>
    <row r="211" s="80" customFormat="1" ht="12.75"/>
    <row r="212" s="80" customFormat="1" ht="12.75"/>
    <row r="213" s="80" customFormat="1" ht="12.75"/>
    <row r="214" s="80" customFormat="1" ht="12.75"/>
    <row r="215" s="80" customFormat="1" ht="12.75"/>
    <row r="216" s="80" customFormat="1" ht="12.75"/>
    <row r="217" s="80" customFormat="1" ht="12.75"/>
    <row r="218" s="80" customFormat="1" ht="12.75"/>
    <row r="219" s="80" customFormat="1" ht="12.75"/>
    <row r="220" s="80" customFormat="1" ht="12.75"/>
    <row r="221" s="80" customFormat="1" ht="12.75"/>
    <row r="222" s="80" customFormat="1" ht="12.75"/>
    <row r="223" s="80" customFormat="1" ht="12.75"/>
    <row r="224" s="80" customFormat="1" ht="12.75"/>
    <row r="225" s="80" customFormat="1" ht="12.75"/>
    <row r="226" s="80" customFormat="1" ht="12.75"/>
    <row r="227" s="80" customFormat="1" ht="12.75"/>
    <row r="228" s="80" customFormat="1" ht="12.75"/>
    <row r="229" s="80" customFormat="1" ht="12.75"/>
    <row r="230" s="80" customFormat="1" ht="12.75"/>
    <row r="231" s="80" customFormat="1" ht="12.75"/>
    <row r="232" s="80" customFormat="1" ht="12.75"/>
    <row r="233" s="80" customFormat="1" ht="12.75"/>
    <row r="234" s="80" customFormat="1" ht="12.75"/>
    <row r="235" s="80" customFormat="1" ht="12.75"/>
    <row r="236" s="80" customFormat="1" ht="12.75"/>
    <row r="237" s="80" customFormat="1" ht="12.75"/>
    <row r="238" s="80" customFormat="1" ht="12.75"/>
    <row r="239" s="80" customFormat="1" ht="12.75"/>
    <row r="240" s="80" customFormat="1" ht="12.75"/>
    <row r="241" s="80" customFormat="1" ht="12.75"/>
    <row r="242" s="80" customFormat="1" ht="12.75"/>
    <row r="243" s="80" customFormat="1" ht="12.75"/>
    <row r="244" s="80" customFormat="1" ht="12.75"/>
    <row r="245" s="80" customFormat="1" ht="12.75"/>
    <row r="246" s="80" customFormat="1" ht="12.75"/>
    <row r="247" s="80" customFormat="1" ht="12.75"/>
    <row r="248" s="80" customFormat="1" ht="12.75"/>
    <row r="249" s="80" customFormat="1" ht="12.75"/>
    <row r="250" s="80" customFormat="1" ht="12.75"/>
    <row r="251" s="80" customFormat="1" ht="12.75"/>
    <row r="252" s="80" customFormat="1" ht="12.75"/>
    <row r="253" s="80" customFormat="1" ht="12.75"/>
    <row r="254" s="80" customFormat="1" ht="12.75"/>
    <row r="255" s="80" customFormat="1" ht="12.75"/>
    <row r="256" s="80" customFormat="1" ht="12.75"/>
    <row r="257" s="80" customFormat="1" ht="12.75"/>
    <row r="258" s="80" customFormat="1" ht="12.75"/>
    <row r="259" s="80" customFormat="1" ht="12.75"/>
    <row r="260" s="80" customFormat="1" ht="12.75"/>
    <row r="261" s="80" customFormat="1" ht="12.75"/>
    <row r="262" s="80" customFormat="1" ht="12.75"/>
    <row r="263" s="80" customFormat="1" ht="12.75"/>
    <row r="264" s="80" customFormat="1" ht="12.75"/>
    <row r="265" s="80" customFormat="1" ht="12.75"/>
    <row r="266" s="80" customFormat="1" ht="12.75"/>
    <row r="267" s="80" customFormat="1" ht="12.75"/>
    <row r="268" s="80" customFormat="1" ht="12.75"/>
    <row r="269" s="80" customFormat="1" ht="12.75"/>
    <row r="270" s="80" customFormat="1" ht="12.75"/>
    <row r="271" s="80" customFormat="1" ht="12.75"/>
    <row r="272" s="80" customFormat="1" ht="12.75"/>
    <row r="273" s="80" customFormat="1" ht="12.75"/>
    <row r="274" s="80" customFormat="1" ht="12.75"/>
    <row r="275" s="80" customFormat="1" ht="12.75"/>
    <row r="276" s="80" customFormat="1" ht="12.75"/>
    <row r="277" s="80" customFormat="1" ht="12.75"/>
    <row r="278" s="80" customFormat="1" ht="12.75"/>
    <row r="279" s="80" customFormat="1" ht="12.75"/>
    <row r="280" s="80" customFormat="1" ht="12.75"/>
    <row r="281" s="80" customFormat="1" ht="12.75"/>
    <row r="282" s="80" customFormat="1" ht="12.75"/>
    <row r="283" s="80" customFormat="1" ht="12.75"/>
    <row r="284" s="80" customFormat="1" ht="12.75"/>
    <row r="285" s="80" customFormat="1" ht="12.75"/>
    <row r="286" s="80" customFormat="1" ht="12.75"/>
    <row r="287" s="80" customFormat="1" ht="12.75"/>
    <row r="288" s="80" customFormat="1" ht="12.75"/>
    <row r="289" s="80" customFormat="1" ht="12.75"/>
    <row r="290" s="80" customFormat="1" ht="12.75"/>
    <row r="291" s="80" customFormat="1" ht="12.75"/>
    <row r="292" s="80" customFormat="1" ht="12.75"/>
    <row r="293" s="80" customFormat="1" ht="12.75"/>
    <row r="294" s="80" customFormat="1" ht="12.75"/>
    <row r="295" s="80" customFormat="1" ht="12.75"/>
    <row r="296" s="80" customFormat="1" ht="12.75"/>
    <row r="297" s="80" customFormat="1" ht="12.75"/>
    <row r="298" s="80" customFormat="1" ht="12.75"/>
    <row r="299" s="80" customFormat="1" ht="12.75"/>
    <row r="300" s="80" customFormat="1" ht="12.75"/>
    <row r="301" s="80" customFormat="1" ht="12.75"/>
    <row r="302" s="80" customFormat="1" ht="12.75"/>
    <row r="303" s="80" customFormat="1" ht="12.75"/>
    <row r="304" s="80" customFormat="1" ht="12.75"/>
    <row r="305" s="80" customFormat="1" ht="12.75"/>
    <row r="306" s="80" customFormat="1" ht="12.75"/>
    <row r="307" s="80" customFormat="1" ht="12.75"/>
    <row r="308" s="80" customFormat="1" ht="12.75"/>
    <row r="309" s="80" customFormat="1" ht="12.75"/>
    <row r="310" s="80" customFormat="1" ht="12.75"/>
    <row r="311" s="80" customFormat="1" ht="12.75"/>
    <row r="312" s="80" customFormat="1" ht="12.75"/>
    <row r="313" s="80" customFormat="1" ht="12.75"/>
    <row r="314" s="80" customFormat="1" ht="12.75"/>
    <row r="315" s="80" customFormat="1" ht="12.75"/>
    <row r="316" s="80" customFormat="1" ht="12.75"/>
    <row r="317" s="80" customFormat="1" ht="12.75"/>
    <row r="318" s="80" customFormat="1" ht="12.75"/>
    <row r="319" s="80" customFormat="1" ht="12.75"/>
    <row r="320" s="80" customFormat="1" ht="12.75"/>
    <row r="321" s="80" customFormat="1" ht="12.75"/>
    <row r="322" s="80" customFormat="1" ht="12.75"/>
    <row r="323" s="80" customFormat="1" ht="12.75"/>
    <row r="324" s="80" customFormat="1" ht="12.75"/>
    <row r="325" s="80" customFormat="1" ht="12.75"/>
    <row r="326" s="80" customFormat="1" ht="12.75"/>
    <row r="327" s="80" customFormat="1" ht="12.75"/>
    <row r="328" s="80" customFormat="1" ht="12.75"/>
    <row r="329" s="80" customFormat="1" ht="12.75"/>
    <row r="330" s="80" customFormat="1" ht="12.75"/>
    <row r="331" s="80" customFormat="1" ht="12.75"/>
    <row r="332" s="80" customFormat="1" ht="12.75"/>
    <row r="333" s="80" customFormat="1" ht="12.75"/>
    <row r="334" s="80" customFormat="1" ht="12.75"/>
    <row r="335" s="80" customFormat="1" ht="12.75"/>
    <row r="336" s="80" customFormat="1" ht="12.75"/>
    <row r="337" s="80" customFormat="1" ht="12.75"/>
    <row r="338" s="80" customFormat="1" ht="12.75"/>
    <row r="339" s="80" customFormat="1" ht="12.75"/>
    <row r="340" s="80" customFormat="1" ht="12.75"/>
    <row r="341" s="80" customFormat="1" ht="12.75"/>
    <row r="342" s="80" customFormat="1" ht="12.75"/>
    <row r="343" s="80" customFormat="1" ht="12.75"/>
    <row r="344" s="80" customFormat="1" ht="12.75"/>
    <row r="345" s="80" customFormat="1" ht="12.75"/>
    <row r="346" s="80" customFormat="1" ht="12.75"/>
    <row r="347" s="80" customFormat="1" ht="12.75"/>
    <row r="348" s="80" customFormat="1" ht="12.75"/>
    <row r="349" s="80" customFormat="1" ht="12.75"/>
    <row r="350" s="80" customFormat="1" ht="12.75"/>
    <row r="351" s="80" customFormat="1" ht="12.75"/>
    <row r="352" s="80" customFormat="1" ht="12.75"/>
    <row r="353" s="80" customFormat="1" ht="12.75"/>
    <row r="354" s="80" customFormat="1" ht="12.75"/>
    <row r="355" s="80" customFormat="1" ht="12.75"/>
    <row r="356" s="80" customFormat="1" ht="12.75"/>
    <row r="357" s="80" customFormat="1" ht="12.75"/>
    <row r="358" s="80" customFormat="1" ht="12.75"/>
    <row r="359" s="80" customFormat="1" ht="12.75"/>
    <row r="360" s="80" customFormat="1" ht="12.75"/>
    <row r="361" s="80" customFormat="1" ht="12.75"/>
    <row r="362" s="80" customFormat="1" ht="12.75"/>
    <row r="363" s="80" customFormat="1" ht="12.75"/>
    <row r="364" s="80" customFormat="1" ht="12.75"/>
    <row r="365" s="80" customFormat="1" ht="12.75"/>
    <row r="366" s="80" customFormat="1" ht="12.75"/>
    <row r="367" s="80" customFormat="1" ht="12.75"/>
    <row r="368" s="80" customFormat="1" ht="12.75"/>
    <row r="369" s="80" customFormat="1" ht="12.75"/>
    <row r="370" s="80" customFormat="1" ht="12.75"/>
    <row r="371" s="80" customFormat="1" ht="12.75"/>
    <row r="372" s="80" customFormat="1" ht="12.75"/>
    <row r="373" s="80" customFormat="1" ht="12.75"/>
    <row r="374" s="80" customFormat="1" ht="12.75"/>
    <row r="375" s="80" customFormat="1" ht="12.75"/>
    <row r="376" s="80" customFormat="1" ht="12.75"/>
    <row r="377" s="80" customFormat="1" ht="12.75"/>
    <row r="378" s="80" customFormat="1" ht="12.75"/>
    <row r="379" s="80" customFormat="1" ht="12.75"/>
    <row r="380" s="80" customFormat="1" ht="12.75"/>
    <row r="381" s="80" customFormat="1" ht="12.75"/>
    <row r="382" s="80" customFormat="1" ht="12.75"/>
    <row r="383" s="80" customFormat="1" ht="12.75"/>
    <row r="384" s="80" customFormat="1" ht="12.75"/>
    <row r="385" s="80" customFormat="1" ht="12.75"/>
    <row r="386" s="80" customFormat="1" ht="12.75"/>
    <row r="387" s="80" customFormat="1" ht="12.75"/>
    <row r="388" s="80" customFormat="1" ht="12.75"/>
    <row r="389" s="80" customFormat="1" ht="12.75"/>
    <row r="390" s="80" customFormat="1" ht="12.75"/>
    <row r="391" s="80" customFormat="1" ht="12.75"/>
    <row r="392" s="80" customFormat="1" ht="12.75"/>
    <row r="393" s="80" customFormat="1" ht="12.75"/>
    <row r="394" s="80" customFormat="1" ht="12.75"/>
    <row r="395" s="80" customFormat="1" ht="12.75"/>
    <row r="396" s="80" customFormat="1" ht="12.75"/>
    <row r="397" s="80" customFormat="1" ht="12.75"/>
    <row r="398" s="80" customFormat="1" ht="12.75"/>
    <row r="399" s="80" customFormat="1" ht="12.75"/>
    <row r="400" s="80" customFormat="1" ht="12.75"/>
    <row r="401" s="80" customFormat="1" ht="12.75"/>
    <row r="402" s="80" customFormat="1" ht="12.75"/>
    <row r="403" s="80" customFormat="1" ht="12.75"/>
    <row r="404" s="80" customFormat="1" ht="12.75"/>
    <row r="405" s="80" customFormat="1" ht="12.75"/>
    <row r="406" s="80" customFormat="1" ht="12.75"/>
    <row r="407" s="80" customFormat="1" ht="12.75"/>
    <row r="408" s="80" customFormat="1" ht="12.75"/>
    <row r="409" s="80" customFormat="1" ht="12.75"/>
    <row r="410" s="80" customFormat="1" ht="12.75"/>
    <row r="411" s="80" customFormat="1" ht="12.75"/>
    <row r="412" s="80" customFormat="1" ht="12.75"/>
    <row r="413" s="80" customFormat="1" ht="12.75"/>
    <row r="414" s="80" customFormat="1" ht="12.75"/>
    <row r="415" s="80" customFormat="1" ht="12.75"/>
    <row r="416" s="80" customFormat="1" ht="12.75"/>
    <row r="417" s="80" customFormat="1" ht="12.75"/>
    <row r="418" s="80" customFormat="1" ht="12.75"/>
    <row r="419" s="80" customFormat="1" ht="12.75"/>
    <row r="420" s="80" customFormat="1" ht="12.75"/>
    <row r="421" s="80" customFormat="1" ht="12.75"/>
    <row r="422" s="80" customFormat="1" ht="12.75"/>
    <row r="423" s="80" customFormat="1" ht="12.75"/>
    <row r="424" s="80" customFormat="1" ht="12.75"/>
    <row r="425" s="80" customFormat="1" ht="12.75"/>
    <row r="426" s="80" customFormat="1" ht="12.75"/>
    <row r="427" s="80" customFormat="1" ht="12.75"/>
    <row r="428" s="80" customFormat="1" ht="12.75"/>
    <row r="429" s="80" customFormat="1" ht="12.75"/>
    <row r="430" s="80" customFormat="1" ht="12.75"/>
    <row r="431" s="80" customFormat="1" ht="12.75"/>
    <row r="432" s="80" customFormat="1" ht="12.75"/>
    <row r="433" s="80" customFormat="1" ht="12.75"/>
    <row r="434" s="80" customFormat="1" ht="12.75"/>
    <row r="435" s="80" customFormat="1" ht="12.75"/>
    <row r="436" s="80" customFormat="1" ht="12.75"/>
    <row r="437" s="80" customFormat="1" ht="12.75"/>
    <row r="438" s="80" customFormat="1" ht="12.75"/>
    <row r="439" s="80" customFormat="1" ht="12.75"/>
    <row r="440" s="80" customFormat="1" ht="12.75"/>
    <row r="441" s="80" customFormat="1" ht="12.75"/>
    <row r="442" s="80" customFormat="1" ht="12.75"/>
    <row r="443" s="80" customFormat="1" ht="12.75"/>
    <row r="444" s="80" customFormat="1" ht="12.75"/>
    <row r="445" s="80" customFormat="1" ht="12.75"/>
    <row r="446" s="80" customFormat="1" ht="12.75"/>
    <row r="447" s="80" customFormat="1" ht="12.75"/>
    <row r="448" s="80" customFormat="1" ht="12.75"/>
    <row r="449" s="80" customFormat="1" ht="12.75"/>
    <row r="450" s="80" customFormat="1" ht="12.75"/>
    <row r="451" s="80" customFormat="1" ht="12.75"/>
    <row r="452" s="80" customFormat="1" ht="12.75"/>
    <row r="453" s="80" customFormat="1" ht="12.75"/>
    <row r="454" s="80" customFormat="1" ht="12.75"/>
    <row r="455" s="80" customFormat="1" ht="12.75"/>
    <row r="456" s="80" customFormat="1" ht="12.75"/>
    <row r="457" s="80" customFormat="1" ht="12.75"/>
    <row r="458" s="80" customFormat="1" ht="12.75"/>
    <row r="459" s="80" customFormat="1" ht="12.75"/>
    <row r="460" s="80" customFormat="1" ht="12.75"/>
    <row r="461" s="80" customFormat="1" ht="12.75"/>
    <row r="462" s="80" customFormat="1" ht="12.75"/>
    <row r="463" s="80" customFormat="1" ht="12.75"/>
    <row r="464" s="80" customFormat="1" ht="12.75"/>
    <row r="465" s="80" customFormat="1" ht="12.75"/>
    <row r="466" s="80" customFormat="1" ht="12.75"/>
    <row r="467" s="80" customFormat="1" ht="12.75"/>
    <row r="468" s="80" customFormat="1" ht="12.75"/>
    <row r="469" s="80" customFormat="1" ht="12.75"/>
    <row r="470" s="80" customFormat="1" ht="12.75"/>
    <row r="471" s="80" customFormat="1" ht="12.75"/>
    <row r="472" s="80" customFormat="1" ht="12.75"/>
    <row r="473" s="80" customFormat="1" ht="12.75"/>
    <row r="474" s="80" customFormat="1" ht="12.75"/>
    <row r="475" s="80" customFormat="1" ht="12.75"/>
    <row r="476" s="80" customFormat="1" ht="12.75"/>
    <row r="477" s="80" customFormat="1" ht="12.75"/>
    <row r="478" s="80" customFormat="1" ht="12.75"/>
    <row r="479" s="80" customFormat="1" ht="12.75"/>
    <row r="480" s="80" customFormat="1" ht="12.75"/>
    <row r="481" s="80" customFormat="1" ht="12.75"/>
    <row r="482" s="80" customFormat="1" ht="12.75"/>
    <row r="483" s="80" customFormat="1" ht="12.75"/>
    <row r="484" s="80" customFormat="1" ht="12.75"/>
    <row r="485" s="80" customFormat="1" ht="12.75"/>
    <row r="486" s="80" customFormat="1" ht="12.75"/>
    <row r="487" s="80" customFormat="1" ht="12.75"/>
    <row r="488" s="80" customFormat="1" ht="12.75"/>
    <row r="489" s="80" customFormat="1" ht="12.75"/>
    <row r="490" s="80" customFormat="1" ht="12.75"/>
    <row r="491" s="80" customFormat="1" ht="12.75"/>
    <row r="492" s="80" customFormat="1" ht="12.75"/>
    <row r="493" s="80" customFormat="1" ht="12.75"/>
    <row r="494" s="80" customFormat="1" ht="12.75"/>
    <row r="495" s="80" customFormat="1" ht="12.75"/>
    <row r="496" s="80" customFormat="1" ht="12.75"/>
    <row r="497" s="80" customFormat="1" ht="12.75"/>
    <row r="498" s="80" customFormat="1" ht="12.75"/>
    <row r="499" s="80" customFormat="1" ht="12.75"/>
    <row r="500" s="80" customFormat="1" ht="12.75"/>
    <row r="501" s="80" customFormat="1" ht="12.75"/>
    <row r="502" s="80" customFormat="1" ht="12.75"/>
    <row r="503" s="80" customFormat="1" ht="12.75"/>
    <row r="504" s="80" customFormat="1" ht="12.75"/>
    <row r="505" s="80" customFormat="1" ht="12.75"/>
    <row r="506" s="80" customFormat="1" ht="12.75"/>
    <row r="507" s="80" customFormat="1" ht="12.75"/>
    <row r="508" s="80" customFormat="1" ht="12.75"/>
    <row r="509" s="80" customFormat="1" ht="12.75"/>
    <row r="510" s="80" customFormat="1" ht="12.75"/>
    <row r="511" s="80" customFormat="1" ht="12.75"/>
    <row r="512" s="80" customFormat="1" ht="12.75"/>
    <row r="513" s="80" customFormat="1" ht="12.75"/>
    <row r="514" s="80" customFormat="1" ht="12.75"/>
    <row r="515" s="80" customFormat="1" ht="12.75"/>
    <row r="516" s="80" customFormat="1" ht="12.75"/>
    <row r="517" s="80" customFormat="1" ht="12.75"/>
    <row r="518" s="80" customFormat="1" ht="12.75"/>
    <row r="519" s="80" customFormat="1" ht="12.75"/>
    <row r="520" s="80" customFormat="1" ht="12.75"/>
    <row r="521" s="80" customFormat="1" ht="12.75"/>
    <row r="522" s="80" customFormat="1" ht="12.75"/>
    <row r="523" s="80" customFormat="1" ht="12.75"/>
    <row r="524" s="80" customFormat="1" ht="12.75"/>
    <row r="525" s="80" customFormat="1" ht="12.75"/>
    <row r="526" s="80" customFormat="1" ht="12.75"/>
    <row r="527" s="80" customFormat="1" ht="12.75"/>
    <row r="528" s="80" customFormat="1" ht="12.75"/>
    <row r="529" s="80" customFormat="1" ht="12.75"/>
    <row r="530" s="80" customFormat="1" ht="12.75"/>
    <row r="531" s="80" customFormat="1" ht="12.75"/>
    <row r="532" s="80" customFormat="1" ht="12.75"/>
    <row r="533" s="80" customFormat="1" ht="12.75"/>
    <row r="534" s="80" customFormat="1" ht="12.75"/>
    <row r="535" s="80" customFormat="1" ht="12.75"/>
    <row r="536" s="80" customFormat="1" ht="12.75"/>
    <row r="537" s="80" customFormat="1" ht="12.75"/>
    <row r="538" s="80" customFormat="1" ht="12.75"/>
    <row r="539" s="80" customFormat="1" ht="12.75"/>
    <row r="540" s="80" customFormat="1" ht="12.75"/>
    <row r="541" s="80" customFormat="1" ht="12.75"/>
    <row r="542" s="80" customFormat="1" ht="12.75"/>
    <row r="543" s="80" customFormat="1" ht="12.75"/>
    <row r="544" s="80" customFormat="1" ht="12.75"/>
    <row r="545" s="80" customFormat="1" ht="12.75"/>
    <row r="546" s="80" customFormat="1" ht="12.75"/>
    <row r="547" s="80" customFormat="1" ht="12.75"/>
    <row r="548" s="80" customFormat="1" ht="12.75"/>
    <row r="549" s="80" customFormat="1" ht="12.75"/>
    <row r="550" s="80" customFormat="1" ht="12.75"/>
    <row r="551" s="80" customFormat="1" ht="12.75"/>
    <row r="552" s="80" customFormat="1" ht="12.75"/>
    <row r="553" s="80" customFormat="1" ht="12.75"/>
    <row r="554" s="80" customFormat="1" ht="12.75"/>
    <row r="555" s="80" customFormat="1" ht="12.75"/>
    <row r="556" s="80" customFormat="1" ht="12.75"/>
    <row r="557" s="80" customFormat="1" ht="12.75"/>
    <row r="558" s="80" customFormat="1" ht="12.75"/>
    <row r="559" s="80" customFormat="1" ht="12.75"/>
    <row r="560" s="80" customFormat="1" ht="12.75"/>
    <row r="561" s="80" customFormat="1" ht="12.75"/>
    <row r="562" s="80" customFormat="1" ht="12.75"/>
    <row r="563" s="80" customFormat="1" ht="12.75"/>
    <row r="564" s="80" customFormat="1" ht="12.75"/>
    <row r="565" s="80" customFormat="1" ht="12.75"/>
    <row r="566" s="80" customFormat="1" ht="12.75"/>
    <row r="567" s="80" customFormat="1" ht="12.75"/>
    <row r="568" s="80" customFormat="1" ht="12.75"/>
    <row r="569" s="80" customFormat="1" ht="12.75"/>
    <row r="570" s="80" customFormat="1" ht="12.75"/>
    <row r="571" s="80" customFormat="1" ht="12.75"/>
    <row r="572" s="80" customFormat="1" ht="12.75"/>
    <row r="573" s="80" customFormat="1" ht="12.75"/>
    <row r="574" s="80" customFormat="1" ht="12.75"/>
    <row r="575" s="80" customFormat="1" ht="12.75"/>
    <row r="576" s="80" customFormat="1" ht="12.75"/>
    <row r="577" s="80" customFormat="1" ht="12.75"/>
    <row r="578" s="80" customFormat="1" ht="12.75"/>
    <row r="579" s="80" customFormat="1" ht="12.75"/>
    <row r="580" s="80" customFormat="1" ht="12.75"/>
    <row r="581" s="80" customFormat="1" ht="12.75"/>
    <row r="582" s="80" customFormat="1" ht="12.75"/>
    <row r="583" s="80" customFormat="1" ht="12.75"/>
    <row r="584" s="80" customFormat="1" ht="12.75"/>
    <row r="585" s="80" customFormat="1" ht="12.75"/>
    <row r="586" s="80" customFormat="1" ht="12.75"/>
    <row r="587" s="80" customFormat="1" ht="12.75"/>
    <row r="588" s="80" customFormat="1" ht="12.75"/>
    <row r="589" s="80" customFormat="1" ht="12.75"/>
    <row r="590" s="80" customFormat="1" ht="12.75"/>
    <row r="591" s="80" customFormat="1" ht="12.75"/>
    <row r="592" s="80" customFormat="1" ht="12.75"/>
    <row r="593" s="80" customFormat="1" ht="12.75"/>
    <row r="594" s="80" customFormat="1" ht="12.75"/>
    <row r="595" s="80" customFormat="1" ht="12.75"/>
    <row r="596" s="80" customFormat="1" ht="12.75"/>
    <row r="597" s="80" customFormat="1" ht="12.75"/>
    <row r="598" s="80" customFormat="1" ht="12.75"/>
    <row r="599" s="80" customFormat="1" ht="12.75"/>
    <row r="600" s="80" customFormat="1" ht="12.75"/>
    <row r="601" s="80" customFormat="1" ht="12.75"/>
    <row r="602" s="80" customFormat="1" ht="12.75"/>
    <row r="603" s="80" customFormat="1" ht="12.75"/>
    <row r="604" s="80" customFormat="1" ht="12.75"/>
    <row r="605" s="80" customFormat="1" ht="12.75"/>
    <row r="606" s="80" customFormat="1" ht="12.75"/>
    <row r="607" s="80" customFormat="1" ht="12.75"/>
    <row r="608" s="80" customFormat="1" ht="12.75"/>
    <row r="609" s="80" customFormat="1" ht="12.75"/>
    <row r="610" s="80" customFormat="1" ht="12.75"/>
    <row r="611" s="80" customFormat="1" ht="12.75"/>
    <row r="612" s="80" customFormat="1" ht="12.75"/>
    <row r="613" s="80" customFormat="1" ht="12.75"/>
    <row r="614" s="80" customFormat="1" ht="12.75"/>
    <row r="615" s="80" customFormat="1" ht="12.75"/>
    <row r="616" s="80" customFormat="1" ht="12.75"/>
    <row r="617" s="80" customFormat="1" ht="12.75"/>
    <row r="618" s="80" customFormat="1" ht="12.75"/>
    <row r="619" s="80" customFormat="1" ht="12.75"/>
    <row r="620" s="80" customFormat="1" ht="12.75"/>
    <row r="621" s="80" customFormat="1" ht="12.75"/>
    <row r="622" s="80" customFormat="1" ht="12.75"/>
    <row r="623" s="80" customFormat="1" ht="12.75"/>
    <row r="624" s="80" customFormat="1" ht="12.75"/>
    <row r="625" s="80" customFormat="1" ht="12.75"/>
    <row r="626" s="80" customFormat="1" ht="12.75"/>
    <row r="627" s="80" customFormat="1" ht="12.75"/>
    <row r="628" s="80" customFormat="1" ht="12.75"/>
    <row r="629" s="80" customFormat="1" ht="12.75"/>
    <row r="630" s="80" customFormat="1" ht="12.75"/>
    <row r="631" s="80" customFormat="1" ht="12.75"/>
    <row r="632" s="80" customFormat="1" ht="12.75"/>
    <row r="633" s="80" customFormat="1" ht="12.75"/>
    <row r="634" s="80" customFormat="1" ht="12.75"/>
    <row r="635" s="80" customFormat="1" ht="12.75"/>
    <row r="636" s="80" customFormat="1" ht="12.75"/>
    <row r="637" s="80" customFormat="1" ht="12.75"/>
    <row r="638" s="80" customFormat="1" ht="12.75"/>
    <row r="639" s="80" customFormat="1" ht="12.75"/>
    <row r="640" s="80" customFormat="1" ht="12.75"/>
    <row r="641" s="80" customFormat="1" ht="12.75"/>
    <row r="642" s="80" customFormat="1" ht="12.75"/>
    <row r="643" s="80" customFormat="1" ht="12.75"/>
    <row r="644" s="80" customFormat="1" ht="12.75"/>
    <row r="645" s="80" customFormat="1" ht="12.75"/>
    <row r="646" s="80" customFormat="1" ht="12.75"/>
    <row r="647" s="80" customFormat="1" ht="12.75"/>
    <row r="648" s="80" customFormat="1" ht="12.75"/>
    <row r="649" s="80" customFormat="1" ht="12.75"/>
    <row r="650" s="80" customFormat="1" ht="12.75"/>
    <row r="651" s="80" customFormat="1" ht="12.75"/>
    <row r="652" s="80" customFormat="1" ht="12.75"/>
    <row r="653" s="80" customFormat="1" ht="12.75"/>
    <row r="654" s="80" customFormat="1" ht="12.75"/>
    <row r="655" s="80" customFormat="1" ht="12.75"/>
    <row r="656" s="80" customFormat="1" ht="12.75"/>
    <row r="657" s="80" customFormat="1" ht="12.75"/>
    <row r="658" s="80" customFormat="1" ht="12.75"/>
    <row r="659" s="80" customFormat="1" ht="12.75"/>
    <row r="660" s="80" customFormat="1" ht="12.75"/>
    <row r="661" s="80" customFormat="1" ht="12.75"/>
    <row r="662" s="80" customFormat="1" ht="12.75"/>
    <row r="663" s="80" customFormat="1" ht="12.75"/>
    <row r="664" s="80" customFormat="1" ht="12.75"/>
    <row r="665" s="80" customFormat="1" ht="12.75"/>
    <row r="666" s="80" customFormat="1" ht="12.75"/>
    <row r="667" s="80" customFormat="1" ht="12.75"/>
    <row r="668" s="80" customFormat="1" ht="12.75"/>
    <row r="669" s="80" customFormat="1" ht="12.75"/>
    <row r="670" s="80" customFormat="1" ht="12.75"/>
    <row r="671" s="80" customFormat="1" ht="12.75"/>
    <row r="672" s="80" customFormat="1" ht="12.75"/>
    <row r="673" s="80" customFormat="1" ht="12.75"/>
    <row r="674" s="80" customFormat="1" ht="12.75"/>
    <row r="675" s="80" customFormat="1" ht="12.75"/>
    <row r="676" s="80" customFormat="1" ht="12.75"/>
    <row r="677" s="80" customFormat="1" ht="12.75"/>
    <row r="678" s="80" customFormat="1" ht="12.75"/>
    <row r="679" s="80" customFormat="1" ht="12.75"/>
    <row r="680" s="80" customFormat="1" ht="12.75"/>
    <row r="681" s="80" customFormat="1" ht="12.75"/>
    <row r="682" s="80" customFormat="1" ht="12.75"/>
    <row r="683" s="80" customFormat="1" ht="12.75"/>
    <row r="684" s="80" customFormat="1" ht="12.75"/>
    <row r="685" s="80" customFormat="1" ht="12.75"/>
    <row r="686" s="80" customFormat="1" ht="12.75"/>
    <row r="687" s="80" customFormat="1" ht="12.75"/>
    <row r="688" s="80" customFormat="1" ht="12.75"/>
    <row r="689" s="80" customFormat="1" ht="12.75"/>
    <row r="690" s="80" customFormat="1" ht="12.75"/>
    <row r="691" s="80" customFormat="1" ht="12.75"/>
    <row r="692" s="80" customFormat="1" ht="12.75"/>
    <row r="693" s="80" customFormat="1" ht="12.75"/>
    <row r="694" s="80" customFormat="1" ht="12.75"/>
    <row r="695" s="80" customFormat="1" ht="12.75"/>
    <row r="696" s="80" customFormat="1" ht="12.75"/>
    <row r="697" s="80" customFormat="1" ht="12.75"/>
    <row r="698" s="80" customFormat="1" ht="12.75"/>
    <row r="699" s="80" customFormat="1" ht="12.75"/>
    <row r="700" s="80" customFormat="1" ht="12.75"/>
    <row r="701" s="80" customFormat="1" ht="12.75"/>
    <row r="702" s="80" customFormat="1" ht="12.75"/>
    <row r="703" s="80" customFormat="1" ht="12.75"/>
    <row r="704" s="80" customFormat="1" ht="12.75"/>
    <row r="705" s="80" customFormat="1" ht="12.75"/>
    <row r="706" s="80" customFormat="1" ht="12.75"/>
    <row r="707" s="80" customFormat="1" ht="12.75"/>
    <row r="708" s="80" customFormat="1" ht="12.75"/>
    <row r="709" s="80" customFormat="1" ht="12.75"/>
    <row r="710" s="80" customFormat="1" ht="12.75"/>
    <row r="711" s="80" customFormat="1" ht="12.75"/>
    <row r="712" s="80" customFormat="1" ht="12.75"/>
    <row r="713" s="80" customFormat="1" ht="12.75"/>
    <row r="714" s="80" customFormat="1" ht="12.75"/>
    <row r="715" s="80" customFormat="1" ht="12.75"/>
    <row r="716" s="80" customFormat="1" ht="12.75"/>
    <row r="717" s="80" customFormat="1" ht="12.75"/>
    <row r="718" s="80" customFormat="1" ht="12.75"/>
    <row r="719" s="80" customFormat="1" ht="12.75"/>
    <row r="720" s="80" customFormat="1" ht="12.75"/>
    <row r="721" s="80" customFormat="1" ht="12.75"/>
    <row r="722" s="80" customFormat="1" ht="12.75"/>
    <row r="723" s="80" customFormat="1" ht="12.75"/>
    <row r="724" s="80" customFormat="1" ht="12.75"/>
    <row r="725" s="80" customFormat="1" ht="12.75"/>
    <row r="726" s="80" customFormat="1" ht="12.75"/>
    <row r="727" s="80" customFormat="1" ht="12.75"/>
    <row r="728" s="80" customFormat="1" ht="12.75"/>
    <row r="729" s="80" customFormat="1" ht="12.75"/>
    <row r="730" s="80" customFormat="1" ht="12.75"/>
    <row r="731" s="80" customFormat="1" ht="12.75"/>
    <row r="732" s="80" customFormat="1" ht="12.75"/>
    <row r="733" s="80" customFormat="1" ht="12.75"/>
    <row r="734" s="80" customFormat="1" ht="12.75"/>
    <row r="735" s="80" customFormat="1" ht="12.75"/>
    <row r="736" s="80" customFormat="1" ht="12.75"/>
    <row r="737" s="80" customFormat="1" ht="12.75"/>
    <row r="738" s="80" customFormat="1" ht="12.75"/>
    <row r="739" s="80" customFormat="1" ht="12.75"/>
    <row r="740" s="80" customFormat="1" ht="12.75"/>
    <row r="741" s="80" customFormat="1" ht="12.75"/>
    <row r="742" s="80" customFormat="1" ht="12.75"/>
    <row r="743" s="80" customFormat="1" ht="12.75"/>
    <row r="744" s="80" customFormat="1" ht="12.75"/>
    <row r="745" s="80" customFormat="1" ht="12.75"/>
    <row r="746" s="80" customFormat="1" ht="12.75"/>
    <row r="747" s="80" customFormat="1" ht="12.75"/>
    <row r="748" s="80" customFormat="1" ht="12.75"/>
    <row r="749" s="80" customFormat="1" ht="12.75"/>
    <row r="750" s="80" customFormat="1" ht="12.75"/>
    <row r="751" s="80" customFormat="1" ht="12.75"/>
    <row r="752" s="80" customFormat="1" ht="12.75"/>
    <row r="753" s="80" customFormat="1" ht="12.75"/>
    <row r="754" s="80" customFormat="1" ht="12.75"/>
    <row r="755" s="80" customFormat="1" ht="12.75"/>
    <row r="756" s="80" customFormat="1" ht="12.75"/>
    <row r="757" s="80" customFormat="1" ht="12.75"/>
    <row r="758" s="80" customFormat="1" ht="12.75"/>
    <row r="759" s="80" customFormat="1" ht="12.75"/>
    <row r="760" s="80" customFormat="1" ht="12.75"/>
    <row r="761" s="80" customFormat="1" ht="12.75"/>
    <row r="762" s="80" customFormat="1" ht="12.75"/>
    <row r="763" s="80" customFormat="1" ht="12.75"/>
    <row r="764" s="80" customFormat="1" ht="12.75"/>
    <row r="765" s="80" customFormat="1" ht="12.75"/>
    <row r="766" s="80" customFormat="1" ht="12.75"/>
    <row r="767" s="80" customFormat="1" ht="12.75"/>
    <row r="768" s="80" customFormat="1" ht="12.75"/>
    <row r="769" s="80" customFormat="1" ht="12.75"/>
    <row r="770" s="80" customFormat="1" ht="12.75"/>
    <row r="771" s="80" customFormat="1" ht="12.75"/>
    <row r="772" s="80" customFormat="1" ht="12.75"/>
    <row r="773" s="80" customFormat="1" ht="12.75"/>
    <row r="774" s="80" customFormat="1" ht="12.75"/>
    <row r="775" s="80" customFormat="1" ht="12.75"/>
    <row r="776" s="80" customFormat="1" ht="12.75"/>
    <row r="777" s="80" customFormat="1" ht="12.75"/>
    <row r="778" s="80" customFormat="1" ht="12.75"/>
    <row r="779" s="80" customFormat="1" ht="12.75"/>
    <row r="780" s="80" customFormat="1" ht="12.75"/>
    <row r="781" s="80" customFormat="1" ht="12.75"/>
    <row r="782" s="80" customFormat="1" ht="12.75"/>
    <row r="783" s="80" customFormat="1" ht="12.75"/>
    <row r="784" s="80" customFormat="1" ht="12.75"/>
    <row r="785" s="80" customFormat="1" ht="12.75"/>
    <row r="786" s="80" customFormat="1" ht="12.75"/>
    <row r="787" s="80" customFormat="1" ht="12.75"/>
    <row r="788" s="80" customFormat="1" ht="12.75"/>
    <row r="789" s="80" customFormat="1" ht="12.75"/>
    <row r="790" s="80" customFormat="1" ht="12.75"/>
    <row r="791" s="80" customFormat="1" ht="12.75"/>
    <row r="792" s="80" customFormat="1" ht="12.75"/>
    <row r="793" s="80" customFormat="1" ht="12.75"/>
    <row r="794" s="80" customFormat="1" ht="12.75"/>
    <row r="795" s="80" customFormat="1" ht="12.75"/>
    <row r="796" s="80" customFormat="1" ht="12.75"/>
    <row r="797" s="80" customFormat="1" ht="12.75"/>
    <row r="798" s="80" customFormat="1" ht="12.75"/>
    <row r="799" s="80" customFormat="1" ht="12.75"/>
    <row r="800" s="80" customFormat="1" ht="12.75"/>
    <row r="801" s="80" customFormat="1" ht="12.75"/>
    <row r="802" s="80" customFormat="1" ht="12.75"/>
    <row r="803" s="80" customFormat="1" ht="12.75"/>
    <row r="804" s="80" customFormat="1" ht="12.75"/>
    <row r="805" s="80" customFormat="1" ht="12.75"/>
    <row r="806" s="80" customFormat="1" ht="12.75"/>
    <row r="807" s="80" customFormat="1" ht="12.75"/>
    <row r="808" s="80" customFormat="1" ht="12.75"/>
    <row r="809" s="80" customFormat="1" ht="12.75"/>
    <row r="810" s="80" customFormat="1" ht="12.75"/>
    <row r="811" s="80" customFormat="1" ht="12.75"/>
    <row r="812" s="80" customFormat="1" ht="12.75"/>
    <row r="813" s="80" customFormat="1" ht="12.75"/>
    <row r="814" s="80" customFormat="1" ht="12.75"/>
    <row r="815" s="80" customFormat="1" ht="12.75"/>
    <row r="816" s="80" customFormat="1" ht="12.75"/>
    <row r="817" spans="1:11" ht="12.75">
      <c r="A817" s="80"/>
      <c r="B817" s="80"/>
      <c r="C817" s="80"/>
      <c r="D817" s="80"/>
      <c r="E817" s="80"/>
      <c r="F817" s="80"/>
      <c r="G817" s="80"/>
      <c r="H817" s="80"/>
      <c r="I817" s="80"/>
      <c r="J817" s="80"/>
      <c r="K817" s="80"/>
    </row>
    <row r="818" spans="1:11" ht="12.75">
      <c r="A818" s="80"/>
      <c r="B818" s="80"/>
      <c r="C818" s="80"/>
      <c r="D818" s="80"/>
      <c r="E818" s="80"/>
      <c r="F818" s="80"/>
      <c r="G818" s="80"/>
      <c r="H818" s="80"/>
      <c r="I818" s="80"/>
      <c r="J818" s="80"/>
      <c r="K818" s="80"/>
    </row>
    <row r="819" spans="1:11" ht="12.75">
      <c r="A819" s="80"/>
      <c r="B819" s="80"/>
      <c r="C819" s="80"/>
      <c r="D819" s="80"/>
      <c r="E819" s="80"/>
      <c r="F819" s="80"/>
      <c r="G819" s="80"/>
      <c r="H819" s="80"/>
      <c r="I819" s="80"/>
      <c r="J819" s="80"/>
      <c r="K819" s="80"/>
    </row>
    <row r="820" spans="1:11" ht="12.75">
      <c r="A820" s="80"/>
      <c r="B820" s="80"/>
      <c r="C820" s="80"/>
      <c r="D820" s="80"/>
      <c r="E820" s="80"/>
      <c r="F820" s="80"/>
      <c r="G820" s="80"/>
      <c r="H820" s="80"/>
      <c r="I820" s="80"/>
      <c r="J820" s="80"/>
      <c r="K820" s="80"/>
    </row>
    <row r="821" spans="1:11" ht="12.75">
      <c r="A821" s="80"/>
      <c r="B821" s="80"/>
      <c r="C821" s="80"/>
      <c r="D821" s="80"/>
      <c r="E821" s="80"/>
      <c r="F821" s="80"/>
      <c r="G821" s="80"/>
      <c r="H821" s="80"/>
      <c r="I821" s="80"/>
      <c r="J821" s="80"/>
      <c r="K821" s="80"/>
    </row>
    <row r="822" ht="12.75">
      <c r="A822" s="80"/>
    </row>
    <row r="823" ht="12.75">
      <c r="A823" s="80"/>
    </row>
    <row r="824" ht="12.75">
      <c r="A824" s="80"/>
    </row>
    <row r="825" ht="12.75">
      <c r="A825" s="80"/>
    </row>
  </sheetData>
  <sheetProtection password="CA67" sheet="1" objects="1" scenarios="1" formatCells="0" formatRows="0"/>
  <mergeCells count="63">
    <mergeCell ref="Y27:AC29"/>
    <mergeCell ref="H33:K33"/>
    <mergeCell ref="Y40:AC42"/>
    <mergeCell ref="Y31:AC33"/>
    <mergeCell ref="G36:H36"/>
    <mergeCell ref="F22:G22"/>
    <mergeCell ref="G34:I34"/>
    <mergeCell ref="B29:K29"/>
    <mergeCell ref="C31:D31"/>
    <mergeCell ref="E32:I32"/>
    <mergeCell ref="F23:G23"/>
    <mergeCell ref="E37:E38"/>
    <mergeCell ref="F37:F38"/>
    <mergeCell ref="F16:G16"/>
    <mergeCell ref="F24:G24"/>
    <mergeCell ref="F25:G25"/>
    <mergeCell ref="F26:G26"/>
    <mergeCell ref="E34:E35"/>
    <mergeCell ref="F34:F35"/>
    <mergeCell ref="F27:G27"/>
    <mergeCell ref="F21:G21"/>
    <mergeCell ref="F20:G20"/>
    <mergeCell ref="F17:G17"/>
    <mergeCell ref="F18:G18"/>
    <mergeCell ref="F19:G19"/>
    <mergeCell ref="F12:G12"/>
    <mergeCell ref="F13:G13"/>
    <mergeCell ref="F14:G14"/>
    <mergeCell ref="F7:G7"/>
    <mergeCell ref="F9:G9"/>
    <mergeCell ref="F10:G10"/>
    <mergeCell ref="F11:G11"/>
    <mergeCell ref="J1:J2"/>
    <mergeCell ref="C1:I2"/>
    <mergeCell ref="C4:I4"/>
    <mergeCell ref="C3:I3"/>
    <mergeCell ref="K1:K2"/>
    <mergeCell ref="Y8:AC12"/>
    <mergeCell ref="Y14:AC16"/>
    <mergeCell ref="B42:K42"/>
    <mergeCell ref="G40:K40"/>
    <mergeCell ref="F15:G15"/>
    <mergeCell ref="F8:G8"/>
    <mergeCell ref="A1:B4"/>
    <mergeCell ref="A5:K5"/>
    <mergeCell ref="A6:K6"/>
    <mergeCell ref="Y44:AC49"/>
    <mergeCell ref="E44:H44"/>
    <mergeCell ref="E49:H49"/>
    <mergeCell ref="E48:H48"/>
    <mergeCell ref="E45:H45"/>
    <mergeCell ref="E46:H46"/>
    <mergeCell ref="E47:H47"/>
    <mergeCell ref="E50:H50"/>
    <mergeCell ref="C32:D32"/>
    <mergeCell ref="C34:D35"/>
    <mergeCell ref="G35:H35"/>
    <mergeCell ref="G39:H39"/>
    <mergeCell ref="G37:H37"/>
    <mergeCell ref="G38:H38"/>
    <mergeCell ref="B44:C44"/>
    <mergeCell ref="C37:D38"/>
    <mergeCell ref="B45:C49"/>
  </mergeCells>
  <conditionalFormatting sqref="I35">
    <cfRule type="cellIs" priority="1" dxfId="0" operator="lessThan" stopIfTrue="1">
      <formula>$J$35</formula>
    </cfRule>
  </conditionalFormatting>
  <conditionalFormatting sqref="I36">
    <cfRule type="cellIs" priority="2" dxfId="0" operator="lessThan" stopIfTrue="1">
      <formula>$J$36</formula>
    </cfRule>
  </conditionalFormatting>
  <conditionalFormatting sqref="I37">
    <cfRule type="cellIs" priority="3" dxfId="0" operator="lessThan" stopIfTrue="1">
      <formula>$J$37</formula>
    </cfRule>
  </conditionalFormatting>
  <dataValidations count="1">
    <dataValidation type="list" allowBlank="1" showInputMessage="1" showErrorMessage="1" sqref="D8:D27">
      <formula1>$N$42:$N$60</formula1>
    </dataValidation>
  </dataValidations>
  <printOptions/>
  <pageMargins left="0.25" right="0.25" top="0.25" bottom="0.5" header="0.25" footer="0.25"/>
  <pageSetup fitToHeight="1" fitToWidth="1" horizontalDpi="600" verticalDpi="600" orientation="portrait" r:id="rId3"/>
  <headerFooter alignWithMargins="0">
    <oddFooter>&amp;L&amp;8LID-EZ Wilmington Area Model
Version 2.0&amp;R&amp;8&amp;D  &amp;T
Page &amp;P of &amp;N</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DT103"/>
  <sheetViews>
    <sheetView showGridLines="0" showRowColHeaders="0" zoomScalePageLayoutView="0" workbookViewId="0" topLeftCell="A1">
      <selection activeCell="G79" sqref="G79"/>
    </sheetView>
  </sheetViews>
  <sheetFormatPr defaultColWidth="9.140625" defaultRowHeight="12.75"/>
  <cols>
    <col min="1" max="1" width="18.57421875" style="81" customWidth="1"/>
    <col min="2" max="2" width="12.00390625" style="81" customWidth="1"/>
    <col min="3" max="3" width="11.00390625" style="81" customWidth="1"/>
    <col min="4" max="4" width="10.140625" style="81" customWidth="1"/>
    <col min="5" max="5" width="10.421875" style="81" customWidth="1"/>
    <col min="6" max="6" width="10.140625" style="81" customWidth="1"/>
    <col min="7" max="7" width="10.28125" style="81" customWidth="1"/>
    <col min="8" max="8" width="11.28125" style="81" customWidth="1"/>
    <col min="9" max="9" width="9.8515625" style="81" bestFit="1" customWidth="1"/>
    <col min="10" max="10" width="9.421875" style="80" hidden="1" customWidth="1"/>
    <col min="11" max="11" width="7.57421875" style="80" hidden="1" customWidth="1"/>
    <col min="12" max="12" width="11.421875" style="80" hidden="1" customWidth="1"/>
    <col min="13" max="13" width="11.28125" style="80" hidden="1" customWidth="1"/>
    <col min="14" max="16" width="9.140625" style="80" hidden="1" customWidth="1"/>
    <col min="17" max="17" width="11.57421875" style="80" hidden="1" customWidth="1"/>
    <col min="18" max="18" width="10.140625" style="80" hidden="1" customWidth="1"/>
    <col min="19" max="27" width="9.140625" style="80" hidden="1" customWidth="1"/>
    <col min="28" max="80" width="9.140625" style="80" customWidth="1"/>
    <col min="81" max="124" width="9.140625" style="171" customWidth="1"/>
    <col min="125" max="16384" width="9.140625" style="81" customWidth="1"/>
  </cols>
  <sheetData>
    <row r="1" spans="1:11" ht="13.5" customHeight="1">
      <c r="A1" s="388"/>
      <c r="B1" s="608" t="s">
        <v>2</v>
      </c>
      <c r="C1" s="991"/>
      <c r="D1" s="991"/>
      <c r="E1" s="991"/>
      <c r="F1" s="991"/>
      <c r="G1" s="992"/>
      <c r="H1" s="626" t="s">
        <v>165</v>
      </c>
      <c r="I1" s="624">
        <f>Summary!I1:I2</f>
        <v>0</v>
      </c>
      <c r="J1" s="97"/>
      <c r="K1" s="97"/>
    </row>
    <row r="2" spans="1:11" ht="13.5" customHeight="1">
      <c r="A2" s="82"/>
      <c r="B2" s="993"/>
      <c r="C2" s="750"/>
      <c r="D2" s="750"/>
      <c r="E2" s="750"/>
      <c r="F2" s="750"/>
      <c r="G2" s="752"/>
      <c r="H2" s="627"/>
      <c r="I2" s="625"/>
      <c r="J2" s="97"/>
      <c r="K2" s="97"/>
    </row>
    <row r="3" spans="1:11" ht="25.5" customHeight="1">
      <c r="A3" s="82"/>
      <c r="B3" s="614">
        <f>Summary!B3:G3</f>
        <v>0</v>
      </c>
      <c r="C3" s="750"/>
      <c r="D3" s="750"/>
      <c r="E3" s="750"/>
      <c r="F3" s="750"/>
      <c r="G3" s="752"/>
      <c r="H3" s="96" t="s">
        <v>0</v>
      </c>
      <c r="I3" s="307">
        <f>Summary!I3</f>
        <v>0</v>
      </c>
      <c r="J3" s="98"/>
      <c r="K3" s="98"/>
    </row>
    <row r="4" spans="1:11" ht="24.75" customHeight="1" thickBot="1">
      <c r="A4" s="82"/>
      <c r="B4" s="617">
        <f>Summary!B4:G4</f>
        <v>0</v>
      </c>
      <c r="C4" s="994"/>
      <c r="D4" s="994"/>
      <c r="E4" s="994"/>
      <c r="F4" s="994"/>
      <c r="G4" s="995"/>
      <c r="H4" s="96" t="s">
        <v>1</v>
      </c>
      <c r="I4" s="360">
        <f>Summary!I4</f>
        <v>0</v>
      </c>
      <c r="J4" s="99"/>
      <c r="K4" s="99"/>
    </row>
    <row r="5" spans="1:20" ht="24.75" customHeight="1" thickBot="1" thickTop="1">
      <c r="A5" s="628" t="s">
        <v>104</v>
      </c>
      <c r="B5" s="629"/>
      <c r="C5" s="629"/>
      <c r="D5" s="629"/>
      <c r="E5" s="629"/>
      <c r="F5" s="629"/>
      <c r="G5" s="629"/>
      <c r="H5" s="629"/>
      <c r="I5" s="630"/>
      <c r="J5" s="100"/>
      <c r="K5" s="100"/>
      <c r="N5" s="85"/>
      <c r="O5" s="85"/>
      <c r="P5" s="85"/>
      <c r="Q5" s="85"/>
      <c r="R5" s="85"/>
      <c r="S5" s="85"/>
      <c r="T5" s="85"/>
    </row>
    <row r="6" spans="1:20" ht="11.25" customHeight="1" thickTop="1">
      <c r="A6" s="358"/>
      <c r="B6" s="221"/>
      <c r="C6" s="221"/>
      <c r="D6" s="221"/>
      <c r="E6" s="221"/>
      <c r="F6" s="221"/>
      <c r="G6" s="221"/>
      <c r="H6" s="221"/>
      <c r="I6" s="359"/>
      <c r="J6" s="100"/>
      <c r="K6" s="100"/>
      <c r="N6" s="85"/>
      <c r="O6" s="85"/>
      <c r="P6" s="85"/>
      <c r="Q6" s="85"/>
      <c r="R6" s="85"/>
      <c r="S6" s="85"/>
      <c r="T6" s="85"/>
    </row>
    <row r="7" spans="1:20" ht="15.75">
      <c r="A7" s="118" t="s">
        <v>46</v>
      </c>
      <c r="B7" s="90"/>
      <c r="C7" s="90"/>
      <c r="D7" s="90"/>
      <c r="E7" s="90"/>
      <c r="F7" s="90"/>
      <c r="G7" s="90"/>
      <c r="H7" s="90"/>
      <c r="I7" s="91"/>
      <c r="J7" s="85"/>
      <c r="K7" s="85"/>
      <c r="N7" s="85"/>
      <c r="O7" s="85"/>
      <c r="P7" s="85"/>
      <c r="Q7" s="101"/>
      <c r="R7" s="102"/>
      <c r="S7" s="85"/>
      <c r="T7" s="85"/>
    </row>
    <row r="8" spans="1:20" ht="15.75">
      <c r="A8" s="118"/>
      <c r="B8" s="90"/>
      <c r="C8" s="90"/>
      <c r="D8" s="90"/>
      <c r="E8" s="90"/>
      <c r="F8" s="90"/>
      <c r="G8" s="90"/>
      <c r="H8" s="90"/>
      <c r="I8" s="91"/>
      <c r="J8" s="85"/>
      <c r="K8" s="85"/>
      <c r="N8" s="85"/>
      <c r="O8" s="85"/>
      <c r="P8" s="85"/>
      <c r="Q8" s="101"/>
      <c r="R8" s="102"/>
      <c r="S8" s="85"/>
      <c r="T8" s="85"/>
    </row>
    <row r="9" spans="1:20" ht="15.75">
      <c r="A9" s="118"/>
      <c r="B9" s="90"/>
      <c r="C9" s="90"/>
      <c r="D9" s="180" t="s">
        <v>42</v>
      </c>
      <c r="E9" s="363">
        <f>'Pre-Development'!D32</f>
        <v>0</v>
      </c>
      <c r="F9" s="90"/>
      <c r="G9" s="90"/>
      <c r="H9" s="90"/>
      <c r="I9" s="91"/>
      <c r="J9" s="85"/>
      <c r="K9" s="85"/>
      <c r="N9" s="85"/>
      <c r="O9" s="85"/>
      <c r="P9" s="85"/>
      <c r="Q9" s="101"/>
      <c r="R9" s="102"/>
      <c r="S9" s="85"/>
      <c r="T9" s="85"/>
    </row>
    <row r="10" spans="1:20" ht="15">
      <c r="A10" s="187"/>
      <c r="B10" s="124"/>
      <c r="C10" s="90"/>
      <c r="D10" s="180" t="s">
        <v>219</v>
      </c>
      <c r="E10" s="372">
        <f>'Post-Development'!D43</f>
        <v>0</v>
      </c>
      <c r="F10" s="124"/>
      <c r="G10" s="124"/>
      <c r="H10" s="188"/>
      <c r="I10" s="189"/>
      <c r="J10" s="85"/>
      <c r="K10" s="85"/>
      <c r="N10" s="85"/>
      <c r="O10" s="85"/>
      <c r="P10" s="85"/>
      <c r="Q10" s="101"/>
      <c r="R10" s="102"/>
      <c r="S10" s="85"/>
      <c r="T10" s="85"/>
    </row>
    <row r="11" spans="1:20" ht="12.75">
      <c r="A11" s="187"/>
      <c r="B11" s="124"/>
      <c r="C11" s="124"/>
      <c r="D11" s="124"/>
      <c r="E11" s="124"/>
      <c r="F11" s="124"/>
      <c r="G11" s="124"/>
      <c r="H11" s="188"/>
      <c r="I11" s="189"/>
      <c r="J11" s="85"/>
      <c r="K11" s="85"/>
      <c r="N11" s="85"/>
      <c r="O11" s="85"/>
      <c r="P11" s="85"/>
      <c r="Q11" s="101"/>
      <c r="R11" s="102"/>
      <c r="S11" s="85"/>
      <c r="T11" s="85"/>
    </row>
    <row r="12" spans="1:20" ht="15">
      <c r="A12" s="990" t="s">
        <v>98</v>
      </c>
      <c r="B12" s="652"/>
      <c r="C12" s="652"/>
      <c r="D12" s="652"/>
      <c r="E12" s="652"/>
      <c r="F12" s="652"/>
      <c r="G12" s="652"/>
      <c r="H12" s="652"/>
      <c r="I12" s="625"/>
      <c r="J12" s="85"/>
      <c r="K12" s="85"/>
      <c r="N12" s="85"/>
      <c r="O12" s="85"/>
      <c r="P12" s="85"/>
      <c r="Q12" s="101"/>
      <c r="R12" s="102"/>
      <c r="S12" s="85"/>
      <c r="T12" s="85"/>
    </row>
    <row r="13" spans="1:20" ht="12.75" customHeight="1">
      <c r="A13" s="970" t="s">
        <v>133</v>
      </c>
      <c r="B13" s="971"/>
      <c r="C13" s="971"/>
      <c r="D13" s="971"/>
      <c r="E13" s="971"/>
      <c r="F13" s="971"/>
      <c r="G13" s="971"/>
      <c r="H13" s="971"/>
      <c r="I13" s="972"/>
      <c r="J13" s="85"/>
      <c r="K13" s="85"/>
      <c r="N13" s="85"/>
      <c r="O13" s="85"/>
      <c r="P13" s="85"/>
      <c r="Q13" s="101"/>
      <c r="R13" s="102"/>
      <c r="S13" s="85"/>
      <c r="T13" s="85"/>
    </row>
    <row r="14" spans="1:21" ht="12.75">
      <c r="A14" s="187"/>
      <c r="B14" s="90"/>
      <c r="C14" s="987" t="s">
        <v>101</v>
      </c>
      <c r="D14" s="988">
        <v>200</v>
      </c>
      <c r="E14" s="728"/>
      <c r="F14" s="728"/>
      <c r="G14" s="124"/>
      <c r="H14" s="124"/>
      <c r="I14" s="190"/>
      <c r="J14" s="85"/>
      <c r="K14" s="85"/>
      <c r="N14" s="85"/>
      <c r="O14" s="85"/>
      <c r="P14" s="85"/>
      <c r="Q14" s="973" t="s">
        <v>463</v>
      </c>
      <c r="R14" s="973"/>
      <c r="S14" s="973"/>
      <c r="T14" s="973"/>
      <c r="U14" s="973"/>
    </row>
    <row r="15" spans="1:25" ht="14.25">
      <c r="A15" s="187"/>
      <c r="B15" s="124"/>
      <c r="C15" s="987"/>
      <c r="D15" s="623" t="s">
        <v>97</v>
      </c>
      <c r="E15" s="623"/>
      <c r="F15" s="652"/>
      <c r="G15" s="124"/>
      <c r="H15" s="124"/>
      <c r="I15" s="190"/>
      <c r="J15" s="85"/>
      <c r="K15" s="85"/>
      <c r="L15" s="80" t="s">
        <v>448</v>
      </c>
      <c r="M15" s="80">
        <f>'Post-Development'!F37</f>
        <v>0</v>
      </c>
      <c r="N15" s="85"/>
      <c r="O15" s="85"/>
      <c r="P15" s="85"/>
      <c r="Q15" s="101"/>
      <c r="R15" s="102" t="s">
        <v>464</v>
      </c>
      <c r="S15" s="85"/>
      <c r="T15" s="85" t="s">
        <v>471</v>
      </c>
      <c r="U15" s="80" t="s">
        <v>466</v>
      </c>
      <c r="V15" s="80" t="s">
        <v>467</v>
      </c>
      <c r="W15" s="80" t="s">
        <v>468</v>
      </c>
      <c r="X15" s="80" t="s">
        <v>469</v>
      </c>
      <c r="Y15" s="80" t="s">
        <v>470</v>
      </c>
    </row>
    <row r="16" spans="1:20" ht="12.75">
      <c r="A16" s="187"/>
      <c r="B16" s="90"/>
      <c r="C16" s="124"/>
      <c r="D16" s="124"/>
      <c r="E16" s="132" t="s">
        <v>86</v>
      </c>
      <c r="F16" s="124"/>
      <c r="G16" s="124"/>
      <c r="H16" s="124"/>
      <c r="I16" s="190"/>
      <c r="J16" s="85"/>
      <c r="K16" s="85"/>
      <c r="L16" s="80" t="s">
        <v>253</v>
      </c>
      <c r="M16" s="80">
        <f>IF(E10&gt;0,(1000/E10)-10,0)</f>
        <v>0</v>
      </c>
      <c r="N16" s="85"/>
      <c r="O16" s="85"/>
      <c r="P16" s="85"/>
      <c r="Q16" s="101" t="s">
        <v>462</v>
      </c>
      <c r="R16" s="550" t="s">
        <v>25</v>
      </c>
      <c r="S16" s="85" t="s">
        <v>465</v>
      </c>
      <c r="T16" s="85"/>
    </row>
    <row r="17" spans="1:25" ht="12.75">
      <c r="A17" s="187"/>
      <c r="B17" s="90"/>
      <c r="C17" s="124"/>
      <c r="D17" s="124"/>
      <c r="E17" s="132" t="s">
        <v>211</v>
      </c>
      <c r="F17" s="124"/>
      <c r="G17" s="124"/>
      <c r="H17" s="124"/>
      <c r="I17" s="190"/>
      <c r="J17" s="85"/>
      <c r="K17" s="85"/>
      <c r="N17" s="85" t="s">
        <v>449</v>
      </c>
      <c r="O17" s="85"/>
      <c r="P17" s="85"/>
      <c r="Q17" s="101">
        <v>1</v>
      </c>
      <c r="R17" s="550">
        <f>'Storage Devices'!E8</f>
        <v>0</v>
      </c>
      <c r="S17" s="478">
        <f>'Storage Devices'!I8</f>
      </c>
      <c r="T17" s="585">
        <f>IF(R17&gt;0,MIN(R17,N$18*S17*1.1),0)</f>
        <v>0</v>
      </c>
      <c r="U17" s="80">
        <f>IF(R17&gt;0,MIN(R17,N$19*S17*1.1),0)</f>
        <v>0</v>
      </c>
      <c r="V17" s="80">
        <f>IF(R17&gt;0,MIN(R17,N$20*S17*1.1),0)</f>
        <v>0</v>
      </c>
      <c r="W17" s="80">
        <f>IF(R17&gt;0,MIN(R17,N$21*S17*1.1),0)</f>
        <v>0</v>
      </c>
      <c r="X17" s="80">
        <f>IF(R17&gt;0,MIN(R17,N$23*S17*1.1),0)</f>
        <v>0</v>
      </c>
      <c r="Y17" s="80">
        <f>IF(R17&gt;0,MIN(R17,N$24*S17*1.1),0)</f>
        <v>0</v>
      </c>
    </row>
    <row r="18" spans="1:25" ht="12.75">
      <c r="A18" s="187"/>
      <c r="B18" s="90"/>
      <c r="C18" s="124"/>
      <c r="D18" s="124"/>
      <c r="E18" s="132" t="s">
        <v>99</v>
      </c>
      <c r="F18" s="124"/>
      <c r="G18" s="124"/>
      <c r="H18" s="124"/>
      <c r="I18" s="190"/>
      <c r="J18" s="85"/>
      <c r="K18" s="85"/>
      <c r="L18" s="80" t="s">
        <v>475</v>
      </c>
      <c r="M18" s="109">
        <f>'Post-Development'!AA33</f>
        <v>3.7</v>
      </c>
      <c r="N18" s="85">
        <f aca="true" t="shared" si="0" ref="N18:N24">M18*M$15/12*43560</f>
        <v>0</v>
      </c>
      <c r="O18" s="85"/>
      <c r="P18" s="85"/>
      <c r="Q18" s="101">
        <v>2</v>
      </c>
      <c r="R18" s="550">
        <f>'Storage Devices'!E9</f>
        <v>0</v>
      </c>
      <c r="S18" s="478">
        <f>'Storage Devices'!I9</f>
      </c>
      <c r="T18" s="585">
        <f aca="true" t="shared" si="1" ref="T18:T36">IF(R18&gt;0,MIN(R18,N$18*S18*1.1),0)</f>
        <v>0</v>
      </c>
      <c r="U18" s="80">
        <f aca="true" t="shared" si="2" ref="U18:U36">IF(R18&gt;0,MIN(R18,N$19*S18*1.1),0)</f>
        <v>0</v>
      </c>
      <c r="V18" s="80">
        <f aca="true" t="shared" si="3" ref="V18:V36">IF(R18&gt;0,MIN(R18,N$20*S18*1.1),0)</f>
        <v>0</v>
      </c>
      <c r="W18" s="80">
        <f aca="true" t="shared" si="4" ref="W18:W36">IF(R18&gt;0,MIN(R18,N$21*S18*1.1),0)</f>
        <v>0</v>
      </c>
      <c r="X18" s="80">
        <f aca="true" t="shared" si="5" ref="X18:X36">IF(R18&gt;0,MIN(R18,N$23*S18*1.1),0)</f>
        <v>0</v>
      </c>
      <c r="Y18" s="80">
        <f aca="true" t="shared" si="6" ref="Y18:Y36">IF(R18&gt;0,MIN(R18,N$24*S18*1.1),0)</f>
        <v>0</v>
      </c>
    </row>
    <row r="19" spans="1:25" ht="12.75">
      <c r="A19" s="187"/>
      <c r="B19" s="90"/>
      <c r="C19" s="124"/>
      <c r="D19" s="124"/>
      <c r="E19" s="124"/>
      <c r="F19" s="124"/>
      <c r="G19" s="124"/>
      <c r="H19" s="124"/>
      <c r="I19" s="190"/>
      <c r="J19" s="85"/>
      <c r="K19" s="85"/>
      <c r="L19" s="80" t="s">
        <v>308</v>
      </c>
      <c r="M19" s="80">
        <f>((Summary!E26-(0.2*M16))^2)/(Summary!E26+(0.8*M16))</f>
        <v>4.5</v>
      </c>
      <c r="N19" s="85">
        <f t="shared" si="0"/>
        <v>0</v>
      </c>
      <c r="O19" s="85"/>
      <c r="P19" s="85"/>
      <c r="Q19" s="101">
        <v>3</v>
      </c>
      <c r="R19" s="550">
        <f>'Storage Devices'!E10</f>
        <v>0</v>
      </c>
      <c r="S19" s="478">
        <f>'Storage Devices'!I10</f>
      </c>
      <c r="T19" s="585">
        <f t="shared" si="1"/>
        <v>0</v>
      </c>
      <c r="U19" s="80">
        <f t="shared" si="2"/>
        <v>0</v>
      </c>
      <c r="V19" s="80">
        <f t="shared" si="3"/>
        <v>0</v>
      </c>
      <c r="W19" s="80">
        <f t="shared" si="4"/>
        <v>0</v>
      </c>
      <c r="X19" s="80">
        <f t="shared" si="5"/>
        <v>0</v>
      </c>
      <c r="Y19" s="80">
        <f t="shared" si="6"/>
        <v>0</v>
      </c>
    </row>
    <row r="20" spans="1:25" ht="12.75" customHeight="1">
      <c r="A20" s="187"/>
      <c r="B20" s="90"/>
      <c r="C20" s="124"/>
      <c r="D20" s="139"/>
      <c r="E20" s="136"/>
      <c r="F20" s="124"/>
      <c r="G20" s="974" t="s">
        <v>472</v>
      </c>
      <c r="H20" s="975"/>
      <c r="I20" s="976"/>
      <c r="J20" s="85"/>
      <c r="K20" s="85"/>
      <c r="L20" s="80" t="s">
        <v>220</v>
      </c>
      <c r="M20" s="80">
        <f>((Summary!E27-(0.2*M16))^2)/(Summary!E27+(0.8*M16))</f>
        <v>7</v>
      </c>
      <c r="N20" s="85">
        <f t="shared" si="0"/>
        <v>0</v>
      </c>
      <c r="O20" s="85"/>
      <c r="P20" s="85"/>
      <c r="Q20" s="101">
        <v>4</v>
      </c>
      <c r="R20" s="550">
        <f>'Storage Devices'!E11</f>
        <v>0</v>
      </c>
      <c r="S20" s="478">
        <f>'Storage Devices'!I11</f>
      </c>
      <c r="T20" s="585">
        <f t="shared" si="1"/>
        <v>0</v>
      </c>
      <c r="U20" s="80">
        <f t="shared" si="2"/>
        <v>0</v>
      </c>
      <c r="V20" s="80">
        <f t="shared" si="3"/>
        <v>0</v>
      </c>
      <c r="W20" s="80">
        <f t="shared" si="4"/>
        <v>0</v>
      </c>
      <c r="X20" s="80">
        <f t="shared" si="5"/>
        <v>0</v>
      </c>
      <c r="Y20" s="80">
        <f t="shared" si="6"/>
        <v>0</v>
      </c>
    </row>
    <row r="21" spans="1:25" ht="8.25" customHeight="1" thickBot="1">
      <c r="A21" s="593"/>
      <c r="B21" s="594"/>
      <c r="C21" s="595"/>
      <c r="D21" s="596"/>
      <c r="E21" s="597"/>
      <c r="F21" s="595"/>
      <c r="G21" s="600"/>
      <c r="H21" s="598"/>
      <c r="I21" s="599"/>
      <c r="J21" s="85"/>
      <c r="K21" s="85"/>
      <c r="L21" s="80" t="s">
        <v>224</v>
      </c>
      <c r="M21" s="80">
        <f>((Summary!E28-(0.2*M16))^2)/(Summary!E28+(0.8*M16))</f>
        <v>8</v>
      </c>
      <c r="N21" s="85">
        <f t="shared" si="0"/>
        <v>0</v>
      </c>
      <c r="O21" s="85"/>
      <c r="P21" s="85"/>
      <c r="Q21" s="101">
        <v>5</v>
      </c>
      <c r="R21" s="550">
        <f>'Storage Devices'!E12</f>
        <v>0</v>
      </c>
      <c r="S21" s="478">
        <f>'Storage Devices'!I12</f>
      </c>
      <c r="T21" s="585">
        <f t="shared" si="1"/>
        <v>0</v>
      </c>
      <c r="U21" s="80">
        <f t="shared" si="2"/>
        <v>0</v>
      </c>
      <c r="V21" s="80">
        <f t="shared" si="3"/>
        <v>0</v>
      </c>
      <c r="W21" s="80">
        <f t="shared" si="4"/>
        <v>0</v>
      </c>
      <c r="X21" s="80">
        <f t="shared" si="5"/>
        <v>0</v>
      </c>
      <c r="Y21" s="80">
        <f t="shared" si="6"/>
        <v>0</v>
      </c>
    </row>
    <row r="22" spans="1:25" ht="16.5" thickTop="1">
      <c r="A22" s="187"/>
      <c r="B22" s="90"/>
      <c r="C22" s="124"/>
      <c r="D22" s="139" t="s">
        <v>213</v>
      </c>
      <c r="E22" s="136">
        <f>'Post-Development'!$AA$33</f>
        <v>3.7</v>
      </c>
      <c r="F22" s="124" t="s">
        <v>28</v>
      </c>
      <c r="G22" s="977" t="str">
        <f>ROUND(T38,0)&amp;" cf"</f>
        <v>0 cf</v>
      </c>
      <c r="H22" s="978"/>
      <c r="I22" s="979"/>
      <c r="J22" s="85"/>
      <c r="K22" s="85"/>
      <c r="N22" s="85">
        <f t="shared" si="0"/>
        <v>0</v>
      </c>
      <c r="O22" s="85"/>
      <c r="P22" s="85"/>
      <c r="Q22" s="101">
        <v>6</v>
      </c>
      <c r="R22" s="550">
        <f>'Storage Devices'!E13</f>
        <v>0</v>
      </c>
      <c r="S22" s="478">
        <f>'Storage Devices'!I13</f>
      </c>
      <c r="T22" s="585">
        <f t="shared" si="1"/>
        <v>0</v>
      </c>
      <c r="U22" s="80">
        <f t="shared" si="2"/>
        <v>0</v>
      </c>
      <c r="V22" s="80">
        <f t="shared" si="3"/>
        <v>0</v>
      </c>
      <c r="W22" s="80">
        <f t="shared" si="4"/>
        <v>0</v>
      </c>
      <c r="X22" s="80">
        <f t="shared" si="5"/>
        <v>0</v>
      </c>
      <c r="Y22" s="80">
        <f t="shared" si="6"/>
        <v>0</v>
      </c>
    </row>
    <row r="23" spans="1:25" ht="15.75">
      <c r="A23" s="187"/>
      <c r="B23" s="90"/>
      <c r="C23" s="124"/>
      <c r="D23" s="139" t="s">
        <v>214</v>
      </c>
      <c r="E23" s="136">
        <f>IF(E22-T39&lt;0,0,E22-T39)</f>
        <v>3.7</v>
      </c>
      <c r="F23" s="124" t="s">
        <v>28</v>
      </c>
      <c r="G23" s="977" t="str">
        <f>ROUND(T39,2)&amp;" in"</f>
        <v>0 in</v>
      </c>
      <c r="H23" s="978"/>
      <c r="I23" s="979"/>
      <c r="J23" s="85"/>
      <c r="K23" s="85"/>
      <c r="L23" s="80" t="s">
        <v>307</v>
      </c>
      <c r="M23" s="80">
        <f>((Summary!E29-(0.2*M16))^2)/(Summary!E29+(0.8*M16))</f>
        <v>9</v>
      </c>
      <c r="N23" s="85">
        <f t="shared" si="0"/>
        <v>0</v>
      </c>
      <c r="O23" s="85"/>
      <c r="P23" s="85"/>
      <c r="Q23" s="101">
        <v>7</v>
      </c>
      <c r="R23" s="550">
        <f>'Storage Devices'!E14</f>
        <v>0</v>
      </c>
      <c r="S23" s="478">
        <f>'Storage Devices'!I14</f>
      </c>
      <c r="T23" s="585">
        <f t="shared" si="1"/>
        <v>0</v>
      </c>
      <c r="U23" s="80">
        <f t="shared" si="2"/>
        <v>0</v>
      </c>
      <c r="V23" s="80">
        <f t="shared" si="3"/>
        <v>0</v>
      </c>
      <c r="W23" s="80">
        <f t="shared" si="4"/>
        <v>0</v>
      </c>
      <c r="X23" s="80">
        <f t="shared" si="5"/>
        <v>0</v>
      </c>
      <c r="Y23" s="80">
        <f t="shared" si="6"/>
        <v>0</v>
      </c>
    </row>
    <row r="24" spans="1:25" ht="17.25" thickBot="1">
      <c r="A24" s="586"/>
      <c r="B24" s="466"/>
      <c r="C24" s="587"/>
      <c r="D24" s="588" t="s">
        <v>212</v>
      </c>
      <c r="E24" s="589">
        <f>IF(E9&gt;0,ROUND(200/((Summary!E25+(2*E23)+2)-((5*Summary!E25*E23)+(4*(E23^2)))^(1/2)),0),0)</f>
        <v>0</v>
      </c>
      <c r="F24" s="587"/>
      <c r="G24" s="601"/>
      <c r="H24" s="590"/>
      <c r="I24" s="591"/>
      <c r="J24" s="85"/>
      <c r="K24" s="85"/>
      <c r="L24" s="80" t="s">
        <v>225</v>
      </c>
      <c r="M24" s="80">
        <f>((Summary!E30-(0.2*M16))^2)/(Summary!E30+(0.8*M16))</f>
        <v>10</v>
      </c>
      <c r="N24" s="85">
        <f t="shared" si="0"/>
        <v>0</v>
      </c>
      <c r="O24" s="85"/>
      <c r="P24" s="85"/>
      <c r="Q24" s="101">
        <v>8</v>
      </c>
      <c r="R24" s="550">
        <f>'Storage Devices'!E15</f>
        <v>0</v>
      </c>
      <c r="S24" s="478">
        <f>'Storage Devices'!I15</f>
      </c>
      <c r="T24" s="585">
        <f t="shared" si="1"/>
        <v>0</v>
      </c>
      <c r="U24" s="80">
        <f t="shared" si="2"/>
        <v>0</v>
      </c>
      <c r="V24" s="80">
        <f t="shared" si="3"/>
        <v>0</v>
      </c>
      <c r="W24" s="80">
        <f t="shared" si="4"/>
        <v>0</v>
      </c>
      <c r="X24" s="80">
        <f t="shared" si="5"/>
        <v>0</v>
      </c>
      <c r="Y24" s="80">
        <f t="shared" si="6"/>
        <v>0</v>
      </c>
    </row>
    <row r="25" spans="1:25" ht="16.5" thickTop="1">
      <c r="A25" s="187"/>
      <c r="B25" s="124"/>
      <c r="C25" s="90"/>
      <c r="D25" s="139" t="s">
        <v>309</v>
      </c>
      <c r="E25" s="136">
        <f>M19</f>
        <v>4.5</v>
      </c>
      <c r="F25" s="124" t="s">
        <v>28</v>
      </c>
      <c r="G25" s="977" t="str">
        <f>ROUND(U38,0)&amp;" cf"</f>
        <v>0 cf</v>
      </c>
      <c r="H25" s="978"/>
      <c r="I25" s="979"/>
      <c r="J25" s="85"/>
      <c r="K25" s="85"/>
      <c r="N25" s="85"/>
      <c r="O25" s="85"/>
      <c r="P25" s="85"/>
      <c r="Q25" s="101">
        <v>9</v>
      </c>
      <c r="R25" s="550">
        <f>'Storage Devices'!E16</f>
        <v>0</v>
      </c>
      <c r="S25" s="478">
        <f>'Storage Devices'!I16</f>
      </c>
      <c r="T25" s="585">
        <f t="shared" si="1"/>
        <v>0</v>
      </c>
      <c r="U25" s="80">
        <f t="shared" si="2"/>
        <v>0</v>
      </c>
      <c r="V25" s="80">
        <f t="shared" si="3"/>
        <v>0</v>
      </c>
      <c r="W25" s="80">
        <f t="shared" si="4"/>
        <v>0</v>
      </c>
      <c r="X25" s="80">
        <f t="shared" si="5"/>
        <v>0</v>
      </c>
      <c r="Y25" s="80">
        <f t="shared" si="6"/>
        <v>0</v>
      </c>
    </row>
    <row r="26" spans="1:25" ht="15.75">
      <c r="A26" s="187"/>
      <c r="B26" s="124"/>
      <c r="C26" s="90"/>
      <c r="D26" s="139" t="s">
        <v>310</v>
      </c>
      <c r="E26" s="136">
        <f>IF(E25-U39&lt;0,0,E25-U39)</f>
        <v>4.5</v>
      </c>
      <c r="F26" s="124" t="s">
        <v>28</v>
      </c>
      <c r="G26" s="977" t="str">
        <f>ROUND(U39,2)&amp;" in"</f>
        <v>0 in</v>
      </c>
      <c r="H26" s="978"/>
      <c r="I26" s="979"/>
      <c r="J26" s="85"/>
      <c r="K26" s="85"/>
      <c r="N26" s="85"/>
      <c r="O26" s="85"/>
      <c r="P26" s="85"/>
      <c r="Q26" s="101">
        <v>10</v>
      </c>
      <c r="R26" s="550">
        <f>'Storage Devices'!E17</f>
        <v>0</v>
      </c>
      <c r="S26" s="478">
        <f>'Storage Devices'!I17</f>
      </c>
      <c r="T26" s="585">
        <f t="shared" si="1"/>
        <v>0</v>
      </c>
      <c r="U26" s="80">
        <f t="shared" si="2"/>
        <v>0</v>
      </c>
      <c r="V26" s="80">
        <f t="shared" si="3"/>
        <v>0</v>
      </c>
      <c r="W26" s="80">
        <f t="shared" si="4"/>
        <v>0</v>
      </c>
      <c r="X26" s="80">
        <f t="shared" si="5"/>
        <v>0</v>
      </c>
      <c r="Y26" s="80">
        <f t="shared" si="6"/>
        <v>0</v>
      </c>
    </row>
    <row r="27" spans="1:25" ht="17.25" thickBot="1">
      <c r="A27" s="586"/>
      <c r="B27" s="587"/>
      <c r="C27" s="466"/>
      <c r="D27" s="588" t="s">
        <v>311</v>
      </c>
      <c r="E27" s="589">
        <f>ROUND(200/((Summary!E26+(2*E26)+2)-((5*Summary!E26*E26)+(4*(E26^2)))^(1/2)),0)</f>
        <v>100</v>
      </c>
      <c r="F27" s="587"/>
      <c r="G27" s="601"/>
      <c r="H27" s="590"/>
      <c r="I27" s="591"/>
      <c r="J27" s="85"/>
      <c r="K27" s="85"/>
      <c r="N27" s="85"/>
      <c r="O27" s="85"/>
      <c r="P27" s="85"/>
      <c r="Q27" s="101">
        <v>11</v>
      </c>
      <c r="R27" s="550">
        <f>'Storage Devices'!E18</f>
        <v>0</v>
      </c>
      <c r="S27" s="478">
        <f>'Storage Devices'!I18</f>
      </c>
      <c r="T27" s="585">
        <f t="shared" si="1"/>
        <v>0</v>
      </c>
      <c r="U27" s="80">
        <f t="shared" si="2"/>
        <v>0</v>
      </c>
      <c r="V27" s="80">
        <f t="shared" si="3"/>
        <v>0</v>
      </c>
      <c r="W27" s="80">
        <f t="shared" si="4"/>
        <v>0</v>
      </c>
      <c r="X27" s="80">
        <f t="shared" si="5"/>
        <v>0</v>
      </c>
      <c r="Y27" s="80">
        <f t="shared" si="6"/>
        <v>0</v>
      </c>
    </row>
    <row r="28" spans="1:25" ht="16.5" thickTop="1">
      <c r="A28" s="187"/>
      <c r="B28" s="124"/>
      <c r="C28" s="90"/>
      <c r="D28" s="139" t="s">
        <v>216</v>
      </c>
      <c r="E28" s="136">
        <f>M20</f>
        <v>7</v>
      </c>
      <c r="F28" s="124" t="s">
        <v>28</v>
      </c>
      <c r="G28" s="977" t="str">
        <f>ROUND(V38,0)&amp;" cf"</f>
        <v>0 cf</v>
      </c>
      <c r="H28" s="978"/>
      <c r="I28" s="979"/>
      <c r="J28" s="85"/>
      <c r="K28" s="85"/>
      <c r="L28" s="80" t="s">
        <v>252</v>
      </c>
      <c r="N28" s="85"/>
      <c r="O28" s="85"/>
      <c r="P28" s="85"/>
      <c r="Q28" s="101">
        <v>12</v>
      </c>
      <c r="R28" s="550">
        <f>'Storage Devices'!E19</f>
        <v>0</v>
      </c>
      <c r="S28" s="478">
        <f>'Storage Devices'!I19</f>
      </c>
      <c r="T28" s="585">
        <f t="shared" si="1"/>
        <v>0</v>
      </c>
      <c r="U28" s="80">
        <f t="shared" si="2"/>
        <v>0</v>
      </c>
      <c r="V28" s="80">
        <f t="shared" si="3"/>
        <v>0</v>
      </c>
      <c r="W28" s="80">
        <f t="shared" si="4"/>
        <v>0</v>
      </c>
      <c r="X28" s="80">
        <f t="shared" si="5"/>
        <v>0</v>
      </c>
      <c r="Y28" s="80">
        <f t="shared" si="6"/>
        <v>0</v>
      </c>
    </row>
    <row r="29" spans="1:25" ht="15.75">
      <c r="A29" s="187"/>
      <c r="B29" s="124"/>
      <c r="C29" s="90"/>
      <c r="D29" s="139" t="s">
        <v>217</v>
      </c>
      <c r="E29" s="136">
        <f>IF(E28-V39&lt;0,0,E28-V39)</f>
        <v>7</v>
      </c>
      <c r="F29" s="124" t="s">
        <v>28</v>
      </c>
      <c r="G29" s="977" t="str">
        <f>ROUND(V39,2)&amp;" in"</f>
        <v>0 in</v>
      </c>
      <c r="H29" s="978"/>
      <c r="I29" s="979"/>
      <c r="J29" s="85"/>
      <c r="K29" s="85"/>
      <c r="L29" s="80" t="s">
        <v>236</v>
      </c>
      <c r="M29" s="80">
        <f>IF(E24&gt;0,(1000/E24)-10,0)</f>
        <v>0</v>
      </c>
      <c r="N29" s="85"/>
      <c r="O29" s="85"/>
      <c r="P29" s="85"/>
      <c r="Q29" s="101">
        <v>13</v>
      </c>
      <c r="R29" s="550">
        <f>'Storage Devices'!E20</f>
        <v>0</v>
      </c>
      <c r="S29" s="478">
        <f>'Storage Devices'!I20</f>
      </c>
      <c r="T29" s="585">
        <f t="shared" si="1"/>
        <v>0</v>
      </c>
      <c r="U29" s="80">
        <f t="shared" si="2"/>
        <v>0</v>
      </c>
      <c r="V29" s="80">
        <f t="shared" si="3"/>
        <v>0</v>
      </c>
      <c r="W29" s="80">
        <f t="shared" si="4"/>
        <v>0</v>
      </c>
      <c r="X29" s="80">
        <f t="shared" si="5"/>
        <v>0</v>
      </c>
      <c r="Y29" s="80">
        <f t="shared" si="6"/>
        <v>0</v>
      </c>
    </row>
    <row r="30" spans="1:25" ht="17.25" thickBot="1">
      <c r="A30" s="586"/>
      <c r="B30" s="587"/>
      <c r="C30" s="466"/>
      <c r="D30" s="588" t="s">
        <v>218</v>
      </c>
      <c r="E30" s="589">
        <f>ROUND(200/((Summary!E27+(2*E29)+2)-((5*Summary!E27*E29)+(4*(E29^2)))^(1/2)),0)</f>
        <v>100</v>
      </c>
      <c r="F30" s="587"/>
      <c r="G30" s="601"/>
      <c r="H30" s="590"/>
      <c r="I30" s="591"/>
      <c r="J30" s="85"/>
      <c r="K30" s="85"/>
      <c r="L30" s="80" t="s">
        <v>305</v>
      </c>
      <c r="M30" s="80">
        <f>(1000/E27)-10</f>
        <v>0</v>
      </c>
      <c r="N30" s="85"/>
      <c r="O30" s="85"/>
      <c r="P30" s="85"/>
      <c r="Q30" s="101">
        <v>14</v>
      </c>
      <c r="R30" s="550">
        <f>'Storage Devices'!E21</f>
        <v>0</v>
      </c>
      <c r="S30" s="478">
        <f>'Storage Devices'!I21</f>
      </c>
      <c r="T30" s="585">
        <f t="shared" si="1"/>
        <v>0</v>
      </c>
      <c r="U30" s="80">
        <f t="shared" si="2"/>
        <v>0</v>
      </c>
      <c r="V30" s="80">
        <f t="shared" si="3"/>
        <v>0</v>
      </c>
      <c r="W30" s="80">
        <f t="shared" si="4"/>
        <v>0</v>
      </c>
      <c r="X30" s="80">
        <f t="shared" si="5"/>
        <v>0</v>
      </c>
      <c r="Y30" s="80">
        <f t="shared" si="6"/>
        <v>0</v>
      </c>
    </row>
    <row r="31" spans="1:25" ht="16.5" thickTop="1">
      <c r="A31" s="187"/>
      <c r="B31" s="124"/>
      <c r="C31" s="90"/>
      <c r="D31" s="139" t="s">
        <v>222</v>
      </c>
      <c r="E31" s="136">
        <f>M21</f>
        <v>8</v>
      </c>
      <c r="F31" s="124" t="s">
        <v>28</v>
      </c>
      <c r="G31" s="977" t="str">
        <f>ROUND(W38,0)&amp;" cf"</f>
        <v>0 cf</v>
      </c>
      <c r="H31" s="978"/>
      <c r="I31" s="979"/>
      <c r="J31" s="85"/>
      <c r="K31" s="85"/>
      <c r="L31" s="80" t="s">
        <v>237</v>
      </c>
      <c r="M31" s="80">
        <f>(1000/E30)-10</f>
        <v>0</v>
      </c>
      <c r="N31" s="85"/>
      <c r="O31" s="85"/>
      <c r="P31" s="85"/>
      <c r="Q31" s="101">
        <v>15</v>
      </c>
      <c r="R31" s="550">
        <f>'Storage Devices'!E22</f>
        <v>0</v>
      </c>
      <c r="S31" s="478">
        <f>'Storage Devices'!I22</f>
      </c>
      <c r="T31" s="585">
        <f t="shared" si="1"/>
        <v>0</v>
      </c>
      <c r="U31" s="80">
        <f t="shared" si="2"/>
        <v>0</v>
      </c>
      <c r="V31" s="80">
        <f t="shared" si="3"/>
        <v>0</v>
      </c>
      <c r="W31" s="80">
        <f t="shared" si="4"/>
        <v>0</v>
      </c>
      <c r="X31" s="80">
        <f t="shared" si="5"/>
        <v>0</v>
      </c>
      <c r="Y31" s="80">
        <f t="shared" si="6"/>
        <v>0</v>
      </c>
    </row>
    <row r="32" spans="1:25" ht="15.75">
      <c r="A32" s="187"/>
      <c r="B32" s="124"/>
      <c r="C32" s="90"/>
      <c r="D32" s="139" t="s">
        <v>223</v>
      </c>
      <c r="E32" s="136">
        <f>IF(E31-W39&lt;0,0,E31-W39)</f>
        <v>8</v>
      </c>
      <c r="F32" s="124" t="s">
        <v>28</v>
      </c>
      <c r="G32" s="977" t="str">
        <f>ROUND(W39,2)&amp;" in"</f>
        <v>0 in</v>
      </c>
      <c r="H32" s="978"/>
      <c r="I32" s="979"/>
      <c r="J32" s="85"/>
      <c r="K32" s="85"/>
      <c r="L32" s="80" t="s">
        <v>238</v>
      </c>
      <c r="M32" s="80">
        <f>(1000/E33)-10</f>
        <v>0</v>
      </c>
      <c r="N32" s="85"/>
      <c r="O32" s="85"/>
      <c r="P32" s="85"/>
      <c r="Q32" s="101">
        <v>16</v>
      </c>
      <c r="R32" s="550">
        <f>'Storage Devices'!E23</f>
        <v>0</v>
      </c>
      <c r="S32" s="478">
        <f>'Storage Devices'!I23</f>
      </c>
      <c r="T32" s="585">
        <f t="shared" si="1"/>
        <v>0</v>
      </c>
      <c r="U32" s="80">
        <f t="shared" si="2"/>
        <v>0</v>
      </c>
      <c r="V32" s="80">
        <f t="shared" si="3"/>
        <v>0</v>
      </c>
      <c r="W32" s="80">
        <f t="shared" si="4"/>
        <v>0</v>
      </c>
      <c r="X32" s="80">
        <f t="shared" si="5"/>
        <v>0</v>
      </c>
      <c r="Y32" s="80">
        <f t="shared" si="6"/>
        <v>0</v>
      </c>
    </row>
    <row r="33" spans="1:25" ht="17.25" thickBot="1">
      <c r="A33" s="586"/>
      <c r="B33" s="587"/>
      <c r="C33" s="466"/>
      <c r="D33" s="588" t="s">
        <v>221</v>
      </c>
      <c r="E33" s="589">
        <f>ROUND(200/((Summary!E28+(2*E32)+2)-((5*Summary!E28*E32)+(4*(E32^2)))^(1/2)),0)</f>
        <v>100</v>
      </c>
      <c r="F33" s="587"/>
      <c r="G33" s="601"/>
      <c r="H33" s="590"/>
      <c r="I33" s="591"/>
      <c r="J33" s="85"/>
      <c r="K33" s="85"/>
      <c r="L33" s="80" t="s">
        <v>306</v>
      </c>
      <c r="M33" s="80">
        <f>(1000/E36)-10</f>
        <v>0</v>
      </c>
      <c r="N33" s="85"/>
      <c r="O33" s="85"/>
      <c r="P33" s="85"/>
      <c r="Q33" s="101">
        <v>17</v>
      </c>
      <c r="R33" s="550">
        <f>'Storage Devices'!E24</f>
        <v>0</v>
      </c>
      <c r="S33" s="478">
        <f>'Storage Devices'!I24</f>
      </c>
      <c r="T33" s="585">
        <f t="shared" si="1"/>
        <v>0</v>
      </c>
      <c r="U33" s="80">
        <f t="shared" si="2"/>
        <v>0</v>
      </c>
      <c r="V33" s="80">
        <f t="shared" si="3"/>
        <v>0</v>
      </c>
      <c r="W33" s="80">
        <f t="shared" si="4"/>
        <v>0</v>
      </c>
      <c r="X33" s="80">
        <f t="shared" si="5"/>
        <v>0</v>
      </c>
      <c r="Y33" s="80">
        <f t="shared" si="6"/>
        <v>0</v>
      </c>
    </row>
    <row r="34" spans="1:25" ht="16.5" thickTop="1">
      <c r="A34" s="187"/>
      <c r="B34" s="124"/>
      <c r="C34" s="90"/>
      <c r="D34" s="139" t="s">
        <v>313</v>
      </c>
      <c r="E34" s="136">
        <f>M23</f>
        <v>9</v>
      </c>
      <c r="F34" s="124" t="s">
        <v>28</v>
      </c>
      <c r="G34" s="977" t="str">
        <f>ROUND(X38,0)&amp;" cf"</f>
        <v>0 cf</v>
      </c>
      <c r="H34" s="978"/>
      <c r="I34" s="979"/>
      <c r="J34" s="85"/>
      <c r="K34" s="85"/>
      <c r="L34" s="80" t="s">
        <v>239</v>
      </c>
      <c r="M34" s="80">
        <f>(1000/E39)-10</f>
        <v>0</v>
      </c>
      <c r="N34" s="85"/>
      <c r="O34" s="85"/>
      <c r="P34" s="85"/>
      <c r="Q34" s="101">
        <v>18</v>
      </c>
      <c r="R34" s="550">
        <f>'Storage Devices'!E25</f>
        <v>0</v>
      </c>
      <c r="S34" s="478">
        <f>'Storage Devices'!I25</f>
      </c>
      <c r="T34" s="585">
        <f t="shared" si="1"/>
        <v>0</v>
      </c>
      <c r="U34" s="80">
        <f t="shared" si="2"/>
        <v>0</v>
      </c>
      <c r="V34" s="80">
        <f t="shared" si="3"/>
        <v>0</v>
      </c>
      <c r="W34" s="80">
        <f t="shared" si="4"/>
        <v>0</v>
      </c>
      <c r="X34" s="80">
        <f t="shared" si="5"/>
        <v>0</v>
      </c>
      <c r="Y34" s="80">
        <f t="shared" si="6"/>
        <v>0</v>
      </c>
    </row>
    <row r="35" spans="1:25" ht="15.75">
      <c r="A35" s="187"/>
      <c r="B35" s="124"/>
      <c r="C35" s="90"/>
      <c r="D35" s="139" t="s">
        <v>314</v>
      </c>
      <c r="E35" s="136">
        <f>IF(E34-X39&lt;0,0,E34-X39)</f>
        <v>9</v>
      </c>
      <c r="F35" s="124" t="s">
        <v>28</v>
      </c>
      <c r="G35" s="977" t="str">
        <f>ROUND(X39,2)&amp;" in"</f>
        <v>0 in</v>
      </c>
      <c r="H35" s="978"/>
      <c r="I35" s="979"/>
      <c r="J35" s="85"/>
      <c r="K35" s="85"/>
      <c r="N35" s="85"/>
      <c r="O35" s="85"/>
      <c r="P35" s="85"/>
      <c r="Q35" s="101">
        <v>19</v>
      </c>
      <c r="R35" s="550">
        <f>'Storage Devices'!E26</f>
        <v>0</v>
      </c>
      <c r="S35" s="478">
        <f>'Storage Devices'!I26</f>
      </c>
      <c r="T35" s="585">
        <f t="shared" si="1"/>
        <v>0</v>
      </c>
      <c r="U35" s="80">
        <f t="shared" si="2"/>
        <v>0</v>
      </c>
      <c r="V35" s="80">
        <f t="shared" si="3"/>
        <v>0</v>
      </c>
      <c r="W35" s="80">
        <f t="shared" si="4"/>
        <v>0</v>
      </c>
      <c r="X35" s="80">
        <f t="shared" si="5"/>
        <v>0</v>
      </c>
      <c r="Y35" s="80">
        <f t="shared" si="6"/>
        <v>0</v>
      </c>
    </row>
    <row r="36" spans="1:25" ht="17.25" thickBot="1">
      <c r="A36" s="586"/>
      <c r="B36" s="587"/>
      <c r="C36" s="466"/>
      <c r="D36" s="588" t="s">
        <v>315</v>
      </c>
      <c r="E36" s="589">
        <f>ROUND(200/((Summary!E29+(2*E35)+2)-((5*Summary!E29*E35)+(4*(E35^2)))^(1/2)),0)</f>
        <v>100</v>
      </c>
      <c r="F36" s="587"/>
      <c r="G36" s="601"/>
      <c r="H36" s="590"/>
      <c r="I36" s="591"/>
      <c r="J36" s="85"/>
      <c r="K36" s="85"/>
      <c r="N36" s="85"/>
      <c r="O36" s="85"/>
      <c r="P36" s="85"/>
      <c r="Q36" s="101">
        <v>20</v>
      </c>
      <c r="R36" s="550">
        <f>'Storage Devices'!E27</f>
        <v>0</v>
      </c>
      <c r="S36" s="478">
        <f>'Storage Devices'!I27</f>
      </c>
      <c r="T36" s="585">
        <f t="shared" si="1"/>
        <v>0</v>
      </c>
      <c r="U36" s="80">
        <f t="shared" si="2"/>
        <v>0</v>
      </c>
      <c r="V36" s="80">
        <f t="shared" si="3"/>
        <v>0</v>
      </c>
      <c r="W36" s="80">
        <f t="shared" si="4"/>
        <v>0</v>
      </c>
      <c r="X36" s="80">
        <f t="shared" si="5"/>
        <v>0</v>
      </c>
      <c r="Y36" s="80">
        <f t="shared" si="6"/>
        <v>0</v>
      </c>
    </row>
    <row r="37" spans="1:20" ht="16.5" thickTop="1">
      <c r="A37" s="187"/>
      <c r="B37" s="124"/>
      <c r="C37" s="90"/>
      <c r="D37" s="139" t="s">
        <v>226</v>
      </c>
      <c r="E37" s="136">
        <f>M24</f>
        <v>10</v>
      </c>
      <c r="F37" s="124" t="s">
        <v>28</v>
      </c>
      <c r="G37" s="977" t="str">
        <f>ROUND(Y38,0)&amp;" cf"</f>
        <v>0 cf</v>
      </c>
      <c r="H37" s="978"/>
      <c r="I37" s="979"/>
      <c r="J37" s="85"/>
      <c r="K37" s="85"/>
      <c r="L37" s="81"/>
      <c r="M37" s="81"/>
      <c r="N37" s="85"/>
      <c r="O37" s="85"/>
      <c r="P37" s="85"/>
      <c r="Q37" s="101"/>
      <c r="R37" s="102"/>
      <c r="S37" s="85"/>
      <c r="T37" s="85"/>
    </row>
    <row r="38" spans="1:25" ht="15.75">
      <c r="A38" s="187"/>
      <c r="B38" s="124"/>
      <c r="C38" s="90"/>
      <c r="D38" s="139" t="s">
        <v>227</v>
      </c>
      <c r="E38" s="136">
        <f>IF(E37-Y39&lt;0,0,E37-Y39)</f>
        <v>10</v>
      </c>
      <c r="F38" s="124" t="s">
        <v>28</v>
      </c>
      <c r="G38" s="977" t="str">
        <f>ROUND(Y39,2)&amp;" in"</f>
        <v>0 in</v>
      </c>
      <c r="H38" s="978"/>
      <c r="I38" s="979"/>
      <c r="J38" s="85"/>
      <c r="K38" s="85"/>
      <c r="N38" s="85"/>
      <c r="O38" s="85"/>
      <c r="P38" s="85"/>
      <c r="Q38" s="101" t="s">
        <v>473</v>
      </c>
      <c r="R38" s="584">
        <f>SUM(R17:R36)</f>
        <v>0</v>
      </c>
      <c r="S38" s="85"/>
      <c r="T38" s="80">
        <f aca="true" t="shared" si="7" ref="T38:Y38">SUM(T17:T36)</f>
        <v>0</v>
      </c>
      <c r="U38" s="80">
        <f t="shared" si="7"/>
        <v>0</v>
      </c>
      <c r="V38" s="80">
        <f t="shared" si="7"/>
        <v>0</v>
      </c>
      <c r="W38" s="80">
        <f t="shared" si="7"/>
        <v>0</v>
      </c>
      <c r="X38" s="80">
        <f t="shared" si="7"/>
        <v>0</v>
      </c>
      <c r="Y38" s="80">
        <f t="shared" si="7"/>
        <v>0</v>
      </c>
    </row>
    <row r="39" spans="1:25" ht="17.25" thickBot="1">
      <c r="A39" s="586"/>
      <c r="B39" s="587"/>
      <c r="C39" s="466"/>
      <c r="D39" s="588" t="s">
        <v>228</v>
      </c>
      <c r="E39" s="589">
        <f>ROUND(200/((Summary!E30+(2*E38)+2)-((5*Summary!E30*E38)+(4*(E38^2)))^(1/2)),0)</f>
        <v>100</v>
      </c>
      <c r="F39" s="587"/>
      <c r="G39" s="602"/>
      <c r="H39" s="587"/>
      <c r="I39" s="592"/>
      <c r="J39" s="85"/>
      <c r="K39" s="85"/>
      <c r="N39" s="85"/>
      <c r="O39" s="85"/>
      <c r="P39" s="85"/>
      <c r="Q39" s="101" t="s">
        <v>474</v>
      </c>
      <c r="R39" s="102"/>
      <c r="S39" s="85"/>
      <c r="T39" s="80">
        <f>IF($E$10&gt;0,(T38/('Post-Development'!$F$37*43560))*12,0)</f>
        <v>0</v>
      </c>
      <c r="U39" s="80">
        <f>IF($E$10&gt;0,(U38/('Post-Development'!$F$37*43560))*12,0)</f>
        <v>0</v>
      </c>
      <c r="V39" s="80">
        <f>IF($E$10&gt;0,(V38/('Post-Development'!$F$37*43560))*12,0)</f>
        <v>0</v>
      </c>
      <c r="W39" s="80">
        <f>IF($E$10&gt;0,(W38/('Post-Development'!$F$37*43560))*12,0)</f>
        <v>0</v>
      </c>
      <c r="X39" s="80">
        <f>IF($E$10&gt;0,(X38/('Post-Development'!$F$37*43560))*12,0)</f>
        <v>0</v>
      </c>
      <c r="Y39" s="80">
        <f>IF($E$10&gt;0,(Y38/('Post-Development'!$F$37*43560))*12,0)</f>
        <v>0</v>
      </c>
    </row>
    <row r="40" spans="1:20" ht="6.75" customHeight="1" thickTop="1">
      <c r="A40" s="187"/>
      <c r="B40" s="124"/>
      <c r="C40" s="180"/>
      <c r="D40" s="191"/>
      <c r="E40" s="124"/>
      <c r="F40" s="124"/>
      <c r="G40" s="124"/>
      <c r="H40" s="124"/>
      <c r="I40" s="190"/>
      <c r="J40" s="85"/>
      <c r="K40" s="85"/>
      <c r="N40" s="85"/>
      <c r="O40" s="85"/>
      <c r="P40" s="85"/>
      <c r="Q40" s="101"/>
      <c r="R40" s="102"/>
      <c r="S40" s="85"/>
      <c r="T40" s="85"/>
    </row>
    <row r="41" spans="1:20" ht="4.5" customHeight="1" thickBot="1">
      <c r="A41" s="192"/>
      <c r="B41" s="193"/>
      <c r="C41" s="193"/>
      <c r="D41" s="193"/>
      <c r="E41" s="193"/>
      <c r="F41" s="193"/>
      <c r="G41" s="193"/>
      <c r="H41" s="193"/>
      <c r="I41" s="194"/>
      <c r="J41" s="85"/>
      <c r="K41" s="85"/>
      <c r="N41" s="85"/>
      <c r="O41" s="85"/>
      <c r="P41" s="85"/>
      <c r="Q41" s="101"/>
      <c r="R41" s="102"/>
      <c r="S41" s="85"/>
      <c r="T41" s="85"/>
    </row>
    <row r="42" spans="1:20" ht="6.75" customHeight="1">
      <c r="A42" s="187"/>
      <c r="B42" s="124"/>
      <c r="C42" s="124"/>
      <c r="D42" s="124"/>
      <c r="E42" s="124"/>
      <c r="F42" s="124"/>
      <c r="G42" s="124"/>
      <c r="H42" s="124"/>
      <c r="I42" s="190"/>
      <c r="J42" s="85"/>
      <c r="K42" s="85"/>
      <c r="N42" s="85"/>
      <c r="O42" s="85"/>
      <c r="P42" s="85"/>
      <c r="Q42" s="101"/>
      <c r="R42" s="102"/>
      <c r="S42" s="85"/>
      <c r="T42" s="85"/>
    </row>
    <row r="43" spans="1:20" ht="15.75">
      <c r="A43" s="118" t="s">
        <v>47</v>
      </c>
      <c r="B43" s="124"/>
      <c r="C43" s="124"/>
      <c r="D43" s="133"/>
      <c r="E43" s="301"/>
      <c r="F43" s="301"/>
      <c r="G43" s="124"/>
      <c r="H43" s="124"/>
      <c r="I43" s="91"/>
      <c r="J43" s="85"/>
      <c r="K43" s="85"/>
      <c r="L43" s="80" t="s">
        <v>243</v>
      </c>
      <c r="M43" s="80">
        <f>((Summary!E25-(0.2*$S$65))^2)/(Summary!E25+(0.8*$S$65))</f>
        <v>3.7</v>
      </c>
      <c r="N43" s="85"/>
      <c r="O43" s="105" t="s">
        <v>235</v>
      </c>
      <c r="P43" s="80">
        <f>((Summary!E25-(0.2*M29))^2)/(Summary!E25+(0.8*M29))</f>
        <v>3.7</v>
      </c>
      <c r="Q43" s="101"/>
      <c r="R43" s="102"/>
      <c r="S43" s="85"/>
      <c r="T43" s="85"/>
    </row>
    <row r="44" spans="1:20" ht="8.25" customHeight="1">
      <c r="A44" s="89"/>
      <c r="B44" s="94"/>
      <c r="C44" s="143"/>
      <c r="D44" s="144"/>
      <c r="E44" s="142"/>
      <c r="F44" s="145"/>
      <c r="G44" s="145"/>
      <c r="H44" s="145"/>
      <c r="I44" s="190"/>
      <c r="J44" s="85"/>
      <c r="K44" s="85"/>
      <c r="M44" s="396"/>
      <c r="N44" s="85"/>
      <c r="Q44" s="101"/>
      <c r="R44" s="102"/>
      <c r="S44" s="85"/>
      <c r="T44" s="85"/>
    </row>
    <row r="45" spans="1:20" ht="16.5">
      <c r="A45" s="89"/>
      <c r="B45" s="90"/>
      <c r="C45" s="134" t="s">
        <v>95</v>
      </c>
      <c r="D45" s="196">
        <f>IF('Pre-Development'!$E$48="min",'Pre-Development'!D48/60,'Pre-Development'!$D$48)</f>
        <v>0.08333333333333333</v>
      </c>
      <c r="E45" s="95" t="s">
        <v>61</v>
      </c>
      <c r="F45" s="145"/>
      <c r="G45" s="145"/>
      <c r="H45" s="145"/>
      <c r="I45" s="190"/>
      <c r="J45" s="85"/>
      <c r="K45" s="85"/>
      <c r="L45" s="396" t="s">
        <v>302</v>
      </c>
      <c r="M45" s="80">
        <f>((Summary!E26-(0.2*$S$65))^2)/(Summary!E26+(0.8*$S$65))</f>
        <v>4.5</v>
      </c>
      <c r="O45" s="105" t="s">
        <v>303</v>
      </c>
      <c r="P45" s="80">
        <f>((Summary!E26-(0.2*M30))^2)/(Summary!E26+(0.8*M30))</f>
        <v>4.5</v>
      </c>
      <c r="Q45" s="101"/>
      <c r="R45" s="102"/>
      <c r="S45" s="85"/>
      <c r="T45" s="85"/>
    </row>
    <row r="46" spans="1:20" ht="12" customHeight="1">
      <c r="A46" s="89"/>
      <c r="B46" s="90"/>
      <c r="C46" s="155"/>
      <c r="D46" s="196"/>
      <c r="E46" s="95"/>
      <c r="F46" s="145"/>
      <c r="G46" s="145"/>
      <c r="H46" s="145"/>
      <c r="I46" s="190"/>
      <c r="J46" s="85"/>
      <c r="K46" s="85"/>
      <c r="L46" s="80" t="s">
        <v>244</v>
      </c>
      <c r="M46" s="80">
        <f>((Summary!E27-(0.2*$S$65))^2)/(Summary!E27+(0.8*$S$65))</f>
        <v>7</v>
      </c>
      <c r="N46" s="85"/>
      <c r="O46" s="105" t="s">
        <v>240</v>
      </c>
      <c r="P46" s="80">
        <f>((Summary!E27-(0.2*M31))^2)/(Summary!E27+(0.8*M31))</f>
        <v>7</v>
      </c>
      <c r="Q46" s="101"/>
      <c r="R46" s="102"/>
      <c r="S46" s="85"/>
      <c r="T46" s="85"/>
    </row>
    <row r="47" spans="1:20" ht="17.25" customHeight="1">
      <c r="A47" s="89"/>
      <c r="B47" s="90"/>
      <c r="C47" s="134" t="s">
        <v>96</v>
      </c>
      <c r="D47" s="196">
        <f>IF('Post-Development'!$E$59="min",'Post-Development'!D59/60,'Post-Development'!$D$59)</f>
        <v>0.08333333333333333</v>
      </c>
      <c r="E47" s="196" t="s">
        <v>61</v>
      </c>
      <c r="F47" s="145"/>
      <c r="G47" s="145"/>
      <c r="H47" s="145"/>
      <c r="I47" s="190"/>
      <c r="J47" s="85"/>
      <c r="K47" s="85"/>
      <c r="L47" s="80" t="s">
        <v>245</v>
      </c>
      <c r="M47" s="80">
        <f>((Summary!E28-(0.2*$S$65))^2)/(Summary!E28+(0.8*$S$65))</f>
        <v>8</v>
      </c>
      <c r="N47" s="85"/>
      <c r="O47" s="105" t="s">
        <v>241</v>
      </c>
      <c r="P47" s="80">
        <f>((Summary!E28-(0.2*M32))^2)/(Summary!E28+(0.8*M32))</f>
        <v>8</v>
      </c>
      <c r="Q47" s="101"/>
      <c r="R47" s="102"/>
      <c r="S47" s="85"/>
      <c r="T47" s="85"/>
    </row>
    <row r="48" spans="1:20" ht="14.25" customHeight="1" thickBot="1">
      <c r="A48" s="353"/>
      <c r="B48" s="93"/>
      <c r="C48" s="354"/>
      <c r="D48" s="355"/>
      <c r="E48" s="356"/>
      <c r="F48" s="357"/>
      <c r="G48" s="357"/>
      <c r="H48" s="357"/>
      <c r="I48" s="194"/>
      <c r="J48" s="85"/>
      <c r="K48" s="85"/>
      <c r="L48" s="80" t="s">
        <v>301</v>
      </c>
      <c r="M48" s="80">
        <f>((Summary!E29-(0.2*$S$65))^2)/(Summary!E29+(0.8*$S$65))</f>
        <v>9</v>
      </c>
      <c r="O48" s="105" t="s">
        <v>304</v>
      </c>
      <c r="P48" s="80">
        <f>((Summary!E29-(0.2*M33))^2)/(Summary!E29+(0.8*M33))</f>
        <v>9</v>
      </c>
      <c r="Q48" s="101"/>
      <c r="R48" s="102"/>
      <c r="S48" s="85"/>
      <c r="T48" s="85"/>
    </row>
    <row r="49" spans="1:20" ht="12" customHeight="1">
      <c r="A49" s="89"/>
      <c r="B49" s="94"/>
      <c r="C49" s="143"/>
      <c r="D49" s="144"/>
      <c r="E49" s="142"/>
      <c r="F49" s="145"/>
      <c r="G49" s="145"/>
      <c r="H49" s="145"/>
      <c r="I49" s="190"/>
      <c r="J49" s="85"/>
      <c r="K49" s="85"/>
      <c r="L49" s="80" t="s">
        <v>246</v>
      </c>
      <c r="M49" s="80">
        <f>((Summary!E30-(0.2*$S$65))^2)/(Summary!E30+(0.8*$S$65))</f>
        <v>10</v>
      </c>
      <c r="N49" s="85"/>
      <c r="O49" s="105" t="s">
        <v>242</v>
      </c>
      <c r="P49" s="80">
        <f>((Summary!E30-(0.2*M34))^2)/(Summary!E30+(0.8*M34))</f>
        <v>10</v>
      </c>
      <c r="Q49" s="106"/>
      <c r="R49" s="106"/>
      <c r="S49" s="85"/>
      <c r="T49" s="85"/>
    </row>
    <row r="50" spans="1:20" ht="15.75">
      <c r="A50" s="118" t="s">
        <v>78</v>
      </c>
      <c r="B50" s="94"/>
      <c r="C50" s="143"/>
      <c r="D50" s="144"/>
      <c r="E50" s="142"/>
      <c r="F50" s="145"/>
      <c r="G50" s="145"/>
      <c r="H50" s="145"/>
      <c r="I50" s="190"/>
      <c r="J50" s="85"/>
      <c r="K50" s="85"/>
      <c r="Q50" s="106"/>
      <c r="R50" s="106"/>
      <c r="S50" s="85"/>
      <c r="T50" s="85"/>
    </row>
    <row r="51" spans="1:20" ht="15" customHeight="1">
      <c r="A51" s="89"/>
      <c r="B51" s="197" t="s">
        <v>229</v>
      </c>
      <c r="C51" s="90"/>
      <c r="D51" s="90"/>
      <c r="E51" s="90"/>
      <c r="F51" s="145"/>
      <c r="G51" s="145"/>
      <c r="H51" s="145"/>
      <c r="I51" s="190"/>
      <c r="J51" s="85"/>
      <c r="K51" s="85"/>
      <c r="N51" s="85"/>
      <c r="O51" s="105"/>
      <c r="Q51" s="85"/>
      <c r="R51" s="85"/>
      <c r="S51" s="85"/>
      <c r="T51" s="85"/>
    </row>
    <row r="52" spans="1:20" ht="16.5" customHeight="1">
      <c r="A52" s="89"/>
      <c r="B52" s="90"/>
      <c r="C52" s="90"/>
      <c r="D52" s="90"/>
      <c r="E52" s="166" t="s">
        <v>87</v>
      </c>
      <c r="F52" s="166"/>
      <c r="G52" s="145"/>
      <c r="H52" s="145"/>
      <c r="I52" s="190"/>
      <c r="J52" s="85"/>
      <c r="K52" s="85"/>
      <c r="M52" s="109"/>
      <c r="N52" s="110"/>
      <c r="O52" s="110"/>
      <c r="P52" s="113"/>
      <c r="Q52" s="85"/>
      <c r="R52" s="85"/>
      <c r="S52" s="85"/>
      <c r="T52" s="85"/>
    </row>
    <row r="53" spans="1:16" ht="13.5" customHeight="1">
      <c r="A53" s="89"/>
      <c r="B53" s="90"/>
      <c r="C53" s="90"/>
      <c r="D53" s="90"/>
      <c r="E53" s="166" t="s">
        <v>86</v>
      </c>
      <c r="F53" s="166"/>
      <c r="G53" s="145"/>
      <c r="H53" s="145"/>
      <c r="I53" s="190"/>
      <c r="J53" s="85"/>
      <c r="K53" s="85"/>
      <c r="M53" s="109"/>
      <c r="N53" s="110"/>
      <c r="O53" s="110"/>
      <c r="P53" s="110"/>
    </row>
    <row r="54" spans="1:16" ht="15.75" customHeight="1">
      <c r="A54" s="89"/>
      <c r="B54" s="90"/>
      <c r="C54" s="90"/>
      <c r="D54" s="90"/>
      <c r="E54" s="166" t="s">
        <v>89</v>
      </c>
      <c r="F54" s="166"/>
      <c r="G54" s="145"/>
      <c r="H54" s="145"/>
      <c r="I54" s="190"/>
      <c r="J54" s="85"/>
      <c r="K54" s="85"/>
      <c r="M54" s="109"/>
      <c r="N54" s="110"/>
      <c r="O54" s="110"/>
      <c r="P54" s="110"/>
    </row>
    <row r="55" spans="1:20" ht="18.75" customHeight="1">
      <c r="A55" s="89"/>
      <c r="B55" s="90"/>
      <c r="C55" s="989" t="s">
        <v>90</v>
      </c>
      <c r="D55" s="989"/>
      <c r="E55" s="989"/>
      <c r="F55" s="989"/>
      <c r="G55" s="989"/>
      <c r="H55" s="145"/>
      <c r="I55" s="190"/>
      <c r="J55" s="85"/>
      <c r="K55" s="85"/>
      <c r="M55" s="109"/>
      <c r="N55" s="110"/>
      <c r="O55" s="110"/>
      <c r="P55" s="112" t="s">
        <v>68</v>
      </c>
      <c r="Q55" s="114" t="s">
        <v>69</v>
      </c>
      <c r="R55" s="114" t="s">
        <v>70</v>
      </c>
      <c r="S55" s="173" t="s">
        <v>71</v>
      </c>
      <c r="T55" s="173"/>
    </row>
    <row r="56" spans="1:20" ht="18.75" customHeight="1">
      <c r="A56" s="89"/>
      <c r="B56" s="90"/>
      <c r="C56" s="90"/>
      <c r="D56" s="90"/>
      <c r="E56" s="132" t="s">
        <v>91</v>
      </c>
      <c r="F56" s="132"/>
      <c r="G56" s="145"/>
      <c r="H56" s="145"/>
      <c r="I56" s="190"/>
      <c r="J56" s="85"/>
      <c r="K56" s="85"/>
      <c r="L56" s="80" t="s">
        <v>230</v>
      </c>
      <c r="M56" s="109" t="s">
        <v>67</v>
      </c>
      <c r="N56" s="110">
        <f>M29</f>
        <v>0</v>
      </c>
      <c r="O56" s="110"/>
      <c r="P56" s="110">
        <v>0.1</v>
      </c>
      <c r="Q56" s="114">
        <v>2.47317</v>
      </c>
      <c r="R56" s="114">
        <v>-0.51848</v>
      </c>
      <c r="S56" s="114">
        <v>-0.17083</v>
      </c>
      <c r="T56" s="114"/>
    </row>
    <row r="57" spans="1:20" ht="18.75" customHeight="1">
      <c r="A57" s="89"/>
      <c r="B57" s="90"/>
      <c r="C57" s="90"/>
      <c r="D57" s="90"/>
      <c r="E57" s="166" t="s">
        <v>88</v>
      </c>
      <c r="F57" s="166"/>
      <c r="G57" s="145"/>
      <c r="H57" s="145"/>
      <c r="I57" s="190"/>
      <c r="J57" s="85"/>
      <c r="K57" s="85"/>
      <c r="M57" s="109" t="s">
        <v>66</v>
      </c>
      <c r="N57" s="109">
        <f>N56*0.2</f>
        <v>0</v>
      </c>
      <c r="O57" s="174">
        <f>IF($N$59=$P$56,$Q$56,IF($N$59=$P$57,$Q$57,IF($N$59=$P$58,$Q$58,IF($N$59=$P$59,$Q$59,IF($N$59=$P$60,$Q$60,$Q$62)))))</f>
        <v>2.47317</v>
      </c>
      <c r="P57" s="110">
        <v>0.3</v>
      </c>
      <c r="Q57" s="114">
        <v>2.39628</v>
      </c>
      <c r="R57" s="114">
        <v>-0.51202</v>
      </c>
      <c r="S57" s="114">
        <v>-0.13245</v>
      </c>
      <c r="T57" s="114"/>
    </row>
    <row r="58" spans="1:20" ht="18.75" customHeight="1">
      <c r="A58" s="89"/>
      <c r="B58" s="198" t="s">
        <v>75</v>
      </c>
      <c r="C58" s="143"/>
      <c r="D58" s="144"/>
      <c r="E58" s="142"/>
      <c r="F58" s="145"/>
      <c r="G58" s="145"/>
      <c r="H58" s="145"/>
      <c r="I58" s="190"/>
      <c r="J58" s="85"/>
      <c r="K58" s="85"/>
      <c r="M58" s="80" t="s">
        <v>68</v>
      </c>
      <c r="N58" s="80">
        <f>N57/Summary!E25</f>
        <v>0</v>
      </c>
      <c r="O58" s="174">
        <f>IF($N$59=$P$56,$R$56,IF($N$59=$P$57,$R$57,IF($N$59=$P$58,$R$58,IF($N$59=$P$59,$R$59,IF($N$59=$P$60,$R$60,$R$62)))))</f>
        <v>-0.51848</v>
      </c>
      <c r="P58" s="110">
        <v>0.35</v>
      </c>
      <c r="Q58" s="114">
        <v>2.35477</v>
      </c>
      <c r="R58" s="114">
        <v>-0.49735</v>
      </c>
      <c r="S58" s="114">
        <v>-0.11985</v>
      </c>
      <c r="T58" s="114"/>
    </row>
    <row r="59" spans="1:20" ht="15.75" customHeight="1">
      <c r="A59" s="89"/>
      <c r="B59" s="90"/>
      <c r="C59" s="135" t="s">
        <v>92</v>
      </c>
      <c r="D59" s="199">
        <f>('Pre-Development'!F25/640)</f>
        <v>0</v>
      </c>
      <c r="E59" s="145" t="s">
        <v>94</v>
      </c>
      <c r="F59" s="90"/>
      <c r="G59" s="90"/>
      <c r="H59" s="90"/>
      <c r="I59" s="91"/>
      <c r="J59" s="85"/>
      <c r="K59" s="85"/>
      <c r="N59" s="80">
        <f>IF(N58&gt;0.475,$P$62,IF(N58&gt;0.425,$P$60,IF(N58&gt;0.375,$P$59,IF(N58&gt;0.325,$P$58,IF(N58&gt;0.2,$P$57,$P$56)))))</f>
        <v>0.1</v>
      </c>
      <c r="O59" s="174">
        <f>IF($N$59=$P$56,$S$56,IF($N$59=$P$57,$S$57,IF($N$59=$P$58,$S$58,IF($N$59=$P$59,$S$59,IF($N$59=$P$60,$S$60,$S$62)))))</f>
        <v>-0.17083</v>
      </c>
      <c r="P59" s="110">
        <v>0.4</v>
      </c>
      <c r="Q59" s="114">
        <v>2.30726</v>
      </c>
      <c r="R59" s="114">
        <v>-0.46541</v>
      </c>
      <c r="S59" s="114">
        <v>-0.11094</v>
      </c>
      <c r="T59" s="114"/>
    </row>
    <row r="60" spans="1:20" ht="15.75" customHeight="1">
      <c r="A60" s="89"/>
      <c r="B60" s="121" t="s">
        <v>231</v>
      </c>
      <c r="C60" s="167">
        <f>M43</f>
        <v>3.7</v>
      </c>
      <c r="D60" s="348" t="s">
        <v>28</v>
      </c>
      <c r="E60" s="349" t="s">
        <v>318</v>
      </c>
      <c r="F60" s="167">
        <f>M45</f>
        <v>4.5</v>
      </c>
      <c r="G60" s="150" t="s">
        <v>28</v>
      </c>
      <c r="H60" s="90"/>
      <c r="I60" s="91"/>
      <c r="J60" s="85"/>
      <c r="K60" s="85"/>
      <c r="M60" s="109" t="s">
        <v>72</v>
      </c>
      <c r="N60" s="80">
        <f>O57+(O58*LOG(D47))+((O59*(LOG(D47)))^2)</f>
        <v>3.066691223438559</v>
      </c>
      <c r="O60" s="80">
        <f>10^(N60)</f>
        <v>1165.980328573946</v>
      </c>
      <c r="P60" s="110">
        <v>0.45</v>
      </c>
      <c r="Q60" s="114">
        <v>2.24876</v>
      </c>
      <c r="R60" s="114">
        <v>-0.41314</v>
      </c>
      <c r="S60" s="114">
        <v>-0.11508</v>
      </c>
      <c r="T60" s="114"/>
    </row>
    <row r="61" spans="1:20" ht="15.75" customHeight="1">
      <c r="A61" s="89"/>
      <c r="B61" s="121" t="s">
        <v>232</v>
      </c>
      <c r="C61" s="167">
        <f>M46</f>
        <v>7</v>
      </c>
      <c r="D61" s="348" t="s">
        <v>28</v>
      </c>
      <c r="E61" s="349" t="s">
        <v>234</v>
      </c>
      <c r="F61" s="167">
        <f>M47</f>
        <v>8</v>
      </c>
      <c r="G61" s="150" t="s">
        <v>28</v>
      </c>
      <c r="H61" s="90"/>
      <c r="I61" s="91"/>
      <c r="J61" s="85"/>
      <c r="K61" s="85"/>
      <c r="M61" s="109"/>
      <c r="P61" s="110"/>
      <c r="Q61" s="114"/>
      <c r="R61" s="114"/>
      <c r="S61" s="114"/>
      <c r="T61" s="114"/>
    </row>
    <row r="62" spans="1:20" ht="16.5" customHeight="1">
      <c r="A62" s="200"/>
      <c r="B62" s="121" t="s">
        <v>319</v>
      </c>
      <c r="C62" s="167">
        <f>M48</f>
        <v>9</v>
      </c>
      <c r="D62" s="348" t="s">
        <v>28</v>
      </c>
      <c r="E62" s="349" t="s">
        <v>233</v>
      </c>
      <c r="F62" s="167">
        <f>M49</f>
        <v>10</v>
      </c>
      <c r="G62" s="150" t="s">
        <v>28</v>
      </c>
      <c r="H62" s="124"/>
      <c r="I62" s="190"/>
      <c r="J62" s="85"/>
      <c r="K62" s="85"/>
      <c r="M62" s="109" t="s">
        <v>73</v>
      </c>
      <c r="N62" s="80">
        <f>O60*P43*D68</f>
        <v>0</v>
      </c>
      <c r="O62" s="112" t="s">
        <v>74</v>
      </c>
      <c r="P62" s="110">
        <v>0.5</v>
      </c>
      <c r="Q62" s="114">
        <v>2.17772</v>
      </c>
      <c r="R62" s="114">
        <v>-0.36803</v>
      </c>
      <c r="S62" s="114">
        <v>-0.09525</v>
      </c>
      <c r="T62" s="114"/>
    </row>
    <row r="63" spans="1:16" ht="17.25" customHeight="1">
      <c r="A63" s="89"/>
      <c r="B63" s="121" t="s">
        <v>262</v>
      </c>
      <c r="C63" s="167">
        <f>U69</f>
        <v>1165.980328573946</v>
      </c>
      <c r="D63" s="348" t="s">
        <v>93</v>
      </c>
      <c r="E63" s="349" t="s">
        <v>321</v>
      </c>
      <c r="F63" s="167">
        <f>U77</f>
        <v>1165.980328573946</v>
      </c>
      <c r="G63" s="348" t="s">
        <v>93</v>
      </c>
      <c r="H63" s="90"/>
      <c r="I63" s="91"/>
      <c r="J63" s="85"/>
      <c r="K63" s="85"/>
      <c r="L63" s="80" t="s">
        <v>317</v>
      </c>
      <c r="M63" s="109" t="s">
        <v>67</v>
      </c>
      <c r="N63" s="110">
        <f>M30</f>
        <v>0</v>
      </c>
      <c r="O63" s="110"/>
      <c r="P63" s="110"/>
    </row>
    <row r="64" spans="1:16" ht="17.25" customHeight="1">
      <c r="A64" s="89"/>
      <c r="B64" s="121" t="s">
        <v>263</v>
      </c>
      <c r="C64" s="167">
        <f>U84</f>
        <v>1165.980328573946</v>
      </c>
      <c r="D64" s="348" t="s">
        <v>93</v>
      </c>
      <c r="E64" s="349" t="s">
        <v>264</v>
      </c>
      <c r="F64" s="167">
        <f>U90</f>
        <v>1165.980328573946</v>
      </c>
      <c r="G64" s="348" t="s">
        <v>93</v>
      </c>
      <c r="H64" s="90"/>
      <c r="I64" s="91"/>
      <c r="J64" s="85"/>
      <c r="K64" s="85"/>
      <c r="M64" s="109"/>
      <c r="N64" s="110"/>
      <c r="O64" s="110"/>
      <c r="P64" s="110"/>
    </row>
    <row r="65" spans="1:21" ht="20.25" customHeight="1">
      <c r="A65" s="89"/>
      <c r="B65" s="349" t="s">
        <v>320</v>
      </c>
      <c r="C65" s="167">
        <f>U96</f>
        <v>1165.980328573946</v>
      </c>
      <c r="D65" s="348" t="s">
        <v>93</v>
      </c>
      <c r="E65" s="349" t="s">
        <v>265</v>
      </c>
      <c r="F65" s="167">
        <f>U102</f>
        <v>1165.980328573946</v>
      </c>
      <c r="G65" s="348" t="s">
        <v>93</v>
      </c>
      <c r="H65" s="90"/>
      <c r="I65" s="91"/>
      <c r="J65" s="85"/>
      <c r="K65" s="85"/>
      <c r="M65" s="109" t="s">
        <v>66</v>
      </c>
      <c r="N65" s="109">
        <f>N63*0.2</f>
        <v>0</v>
      </c>
      <c r="O65" s="174">
        <f>IF($N$67=$P$56,$Q$56,IF($N$67=$P$57,$Q$57,IF($N$67=$P$58,$Q$58,IF($N$67=$P$59,$Q$59,IF($N$67=$P$60,$Q$60,$Q$62)))))</f>
        <v>2.47317</v>
      </c>
      <c r="P65" s="110"/>
      <c r="Q65" s="80" t="s">
        <v>258</v>
      </c>
      <c r="R65" s="80" t="s">
        <v>67</v>
      </c>
      <c r="S65" s="110">
        <f>IF(E9&gt;0,(1000/$E$9)-10,0)</f>
        <v>0</v>
      </c>
      <c r="T65" s="110"/>
      <c r="U65" s="110"/>
    </row>
    <row r="66" spans="1:21" ht="14.25" customHeight="1">
      <c r="A66" s="89"/>
      <c r="B66" s="90"/>
      <c r="C66" s="90"/>
      <c r="D66" s="90"/>
      <c r="E66" s="90"/>
      <c r="F66" s="90"/>
      <c r="G66" s="90"/>
      <c r="H66" s="90"/>
      <c r="I66" s="190"/>
      <c r="J66" s="85"/>
      <c r="K66" s="85"/>
      <c r="M66" s="80" t="s">
        <v>68</v>
      </c>
      <c r="N66" s="80">
        <f>N65/Summary!E26</f>
        <v>0</v>
      </c>
      <c r="O66" s="174">
        <f>IF($N$67=$P$56,$R$56,IF($N$67=$P$57,$R$57,IF($N$67=$P$58,$R$58,IF($N$67=$P$59,$R$59,IF($N$67=$P$60,$R$60,$R$62)))))</f>
        <v>-0.51848</v>
      </c>
      <c r="P66" s="110"/>
      <c r="R66" s="109" t="s">
        <v>66</v>
      </c>
      <c r="S66" s="110">
        <f>$S$65*0.2</f>
        <v>0</v>
      </c>
      <c r="T66" s="110"/>
      <c r="U66" s="174">
        <f>IF(S68=$P$56,$Q$56,IF(S68=$P$57,$Q$57,IF($S$68=$P$58,$Q$58,IF($S$68=$P$59,$Q$59,IF($S$68=$P$60,$Q$60,$Q$62)))))</f>
        <v>2.47317</v>
      </c>
    </row>
    <row r="67" spans="1:21" ht="14.25" customHeight="1">
      <c r="A67" s="89"/>
      <c r="B67" s="198" t="s">
        <v>77</v>
      </c>
      <c r="C67" s="143"/>
      <c r="D67" s="144"/>
      <c r="E67" s="142"/>
      <c r="F67" s="124"/>
      <c r="G67" s="124"/>
      <c r="H67" s="90"/>
      <c r="I67" s="190"/>
      <c r="J67" s="195"/>
      <c r="K67" s="85"/>
      <c r="N67" s="80">
        <f>IF(N66&gt;0.475,$P$62,IF(N66&gt;0.425,$P$60,IF(N66&gt;0.375,$P$59,IF(N66&gt;0.325,$P$58,IF(N66&gt;0.2,$P$57,$P$56)))))</f>
        <v>0.1</v>
      </c>
      <c r="O67" s="174">
        <f>IF($N$67=$P$56,$S$56,IF($N$67=$P$57,$S$57,IF($N$67=$P$58,$S$58,IF($N$67=$P$59,$S$59,IF($N$67=$P$60,$S$60,$S$62)))))</f>
        <v>-0.17083</v>
      </c>
      <c r="P67" s="113"/>
      <c r="R67" s="109" t="s">
        <v>68</v>
      </c>
      <c r="S67" s="110">
        <f>S66/Summary!E25</f>
        <v>0</v>
      </c>
      <c r="T67" s="110"/>
      <c r="U67" s="174">
        <f>IF($S$68=$P$56,$R$56,IF($S$68=$P$57,$R$57,IF($S$68=$P$58,$R$58,IF($S$68=$P$59,$R$59,IF($S$68=$P$60,$R$60,$R$62)))))</f>
        <v>-0.51848</v>
      </c>
    </row>
    <row r="68" spans="1:21" ht="18" customHeight="1">
      <c r="A68" s="183"/>
      <c r="B68" s="309"/>
      <c r="C68" s="135" t="s">
        <v>92</v>
      </c>
      <c r="D68" s="199">
        <f>('Post-Development'!F37/640)</f>
        <v>0</v>
      </c>
      <c r="E68" s="145" t="s">
        <v>94</v>
      </c>
      <c r="F68" s="90"/>
      <c r="G68" s="90"/>
      <c r="H68" s="124"/>
      <c r="I68" s="91"/>
      <c r="J68" s="195"/>
      <c r="K68" s="85"/>
      <c r="M68" s="109" t="s">
        <v>72</v>
      </c>
      <c r="N68" s="80">
        <f>O65+(O66*LOG($D$47))+((O67*(LOG($D$47)))^2)</f>
        <v>3.066691223438559</v>
      </c>
      <c r="O68" s="80">
        <f>10^(N68)</f>
        <v>1165.980328573946</v>
      </c>
      <c r="P68" s="113"/>
      <c r="Q68" s="85"/>
      <c r="R68" s="85"/>
      <c r="S68" s="80">
        <f>IF(S67&gt;0.475,$P$62,IF(S67&gt;0.425,$P$60,IF(S67&gt;0.375,$P$59,IF(S67&gt;0.325,$P$58,IF(S67&gt;0.2,$P$57,$P$56)))))</f>
        <v>0.1</v>
      </c>
      <c r="U68" s="174">
        <f>IF($S$68=$P$56,$S$56,IF($S$68=$P$57,$S$57,IF($S$68=$P$58,$S$58,IF($S$68=$P$59,$S$59,IF($S$68=$P$60,$S$60,$S$62)))))</f>
        <v>-0.17083</v>
      </c>
    </row>
    <row r="69" spans="1:21" ht="15.75">
      <c r="A69" s="183"/>
      <c r="B69" s="121" t="s">
        <v>231</v>
      </c>
      <c r="C69" s="167">
        <f>P43</f>
        <v>3.7</v>
      </c>
      <c r="D69" s="348" t="s">
        <v>28</v>
      </c>
      <c r="E69" s="349" t="s">
        <v>318</v>
      </c>
      <c r="F69" s="167">
        <f>P45</f>
        <v>4.5</v>
      </c>
      <c r="G69" s="150" t="s">
        <v>28</v>
      </c>
      <c r="H69" s="124"/>
      <c r="I69" s="91"/>
      <c r="J69" s="195"/>
      <c r="K69" s="85"/>
      <c r="M69" s="109" t="s">
        <v>73</v>
      </c>
      <c r="N69" s="80">
        <f>O68*F69*(D68)</f>
        <v>0</v>
      </c>
      <c r="O69" s="112" t="s">
        <v>74</v>
      </c>
      <c r="P69" s="111"/>
      <c r="Q69" s="85"/>
      <c r="R69" s="109" t="s">
        <v>72</v>
      </c>
      <c r="S69" s="80">
        <f>U66+(U67*LOG(D45))+((U68*(LOG(D45)))^2)</f>
        <v>3.066691223438559</v>
      </c>
      <c r="U69" s="113">
        <f>10^S69</f>
        <v>1165.980328573946</v>
      </c>
    </row>
    <row r="70" spans="1:21" ht="15.75">
      <c r="A70" s="183"/>
      <c r="B70" s="121" t="s">
        <v>232</v>
      </c>
      <c r="C70" s="167">
        <f>P46</f>
        <v>7</v>
      </c>
      <c r="D70" s="348" t="s">
        <v>28</v>
      </c>
      <c r="E70" s="349" t="s">
        <v>234</v>
      </c>
      <c r="F70" s="167">
        <f>P47</f>
        <v>8</v>
      </c>
      <c r="G70" s="150" t="s">
        <v>28</v>
      </c>
      <c r="H70" s="124"/>
      <c r="I70" s="91"/>
      <c r="J70" s="195"/>
      <c r="K70" s="85"/>
      <c r="M70" s="109"/>
      <c r="O70" s="112"/>
      <c r="P70" s="111"/>
      <c r="Q70" s="85"/>
      <c r="R70" s="109"/>
      <c r="U70" s="113"/>
    </row>
    <row r="71" spans="1:21" ht="15.75">
      <c r="A71" s="89"/>
      <c r="B71" s="349" t="s">
        <v>319</v>
      </c>
      <c r="C71" s="167">
        <f>P48</f>
        <v>9</v>
      </c>
      <c r="D71" s="150" t="s">
        <v>28</v>
      </c>
      <c r="E71" s="349" t="s">
        <v>233</v>
      </c>
      <c r="F71" s="167">
        <f>P49</f>
        <v>10</v>
      </c>
      <c r="G71" s="150" t="s">
        <v>28</v>
      </c>
      <c r="H71" s="90"/>
      <c r="I71" s="189"/>
      <c r="J71" s="195"/>
      <c r="K71" s="85"/>
      <c r="L71" s="80" t="s">
        <v>257</v>
      </c>
      <c r="M71" s="109" t="s">
        <v>67</v>
      </c>
      <c r="N71" s="110">
        <f>M31</f>
        <v>0</v>
      </c>
      <c r="O71" s="110"/>
      <c r="P71" s="103"/>
      <c r="Q71" s="85"/>
      <c r="R71" s="109" t="s">
        <v>73</v>
      </c>
      <c r="S71" s="111">
        <f>(M43*U69)*('Pre-Development'!F25/640)</f>
        <v>0</v>
      </c>
      <c r="T71" s="111"/>
      <c r="U71" s="111" t="s">
        <v>74</v>
      </c>
    </row>
    <row r="72" spans="1:21" ht="15.75">
      <c r="A72" s="89"/>
      <c r="B72" s="121" t="s">
        <v>262</v>
      </c>
      <c r="C72" s="167">
        <f>O60</f>
        <v>1165.980328573946</v>
      </c>
      <c r="D72" s="348" t="s">
        <v>93</v>
      </c>
      <c r="E72" s="349" t="s">
        <v>321</v>
      </c>
      <c r="F72" s="167">
        <f>O68</f>
        <v>1165.980328573946</v>
      </c>
      <c r="G72" s="348" t="s">
        <v>93</v>
      </c>
      <c r="H72" s="90"/>
      <c r="I72" s="91"/>
      <c r="J72" s="195"/>
      <c r="K72" s="85"/>
      <c r="M72" s="109" t="s">
        <v>66</v>
      </c>
      <c r="N72" s="109">
        <f>N71*0.2</f>
        <v>0</v>
      </c>
      <c r="O72" s="174">
        <f>IF($N$75=$P$56,$Q$56,IF($N$75=$P$57,$Q$57,IF($N$75=$P$58,$Q$58,IF($N$75=$P$59,$Q$59,IF($N$75=$P$60,$Q$60,$Q$62)))))</f>
        <v>2.47317</v>
      </c>
      <c r="P72" s="103"/>
      <c r="Q72" s="80" t="s">
        <v>322</v>
      </c>
      <c r="R72" s="80" t="s">
        <v>67</v>
      </c>
      <c r="S72" s="110">
        <f>IF(E9&gt;0,(1000/$E$9)-10,0)</f>
        <v>0</v>
      </c>
      <c r="T72" s="110"/>
      <c r="U72" s="110"/>
    </row>
    <row r="73" spans="1:21" ht="15.75">
      <c r="A73" s="89"/>
      <c r="B73" s="121" t="s">
        <v>263</v>
      </c>
      <c r="C73" s="167">
        <f>O76</f>
        <v>1165.980328573946</v>
      </c>
      <c r="D73" s="348" t="s">
        <v>93</v>
      </c>
      <c r="E73" s="349" t="s">
        <v>264</v>
      </c>
      <c r="F73" s="167">
        <f>O82</f>
        <v>1165.980328573946</v>
      </c>
      <c r="G73" s="348" t="s">
        <v>93</v>
      </c>
      <c r="H73" s="90"/>
      <c r="I73" s="91"/>
      <c r="J73" s="195"/>
      <c r="K73" s="85"/>
      <c r="M73" s="109"/>
      <c r="N73" s="109"/>
      <c r="O73" s="174"/>
      <c r="P73" s="103"/>
      <c r="S73" s="110"/>
      <c r="T73" s="110"/>
      <c r="U73" s="110"/>
    </row>
    <row r="74" spans="1:21" ht="15.75">
      <c r="A74" s="314"/>
      <c r="B74" s="121" t="s">
        <v>320</v>
      </c>
      <c r="C74" s="167">
        <f>O88</f>
        <v>1165.980328573946</v>
      </c>
      <c r="D74" s="348" t="s">
        <v>93</v>
      </c>
      <c r="E74" s="349" t="s">
        <v>265</v>
      </c>
      <c r="F74" s="167">
        <f>O94</f>
        <v>1165.980328573946</v>
      </c>
      <c r="G74" s="348" t="s">
        <v>93</v>
      </c>
      <c r="H74" s="124"/>
      <c r="I74" s="91"/>
      <c r="J74" s="195"/>
      <c r="K74" s="85"/>
      <c r="M74" s="80" t="s">
        <v>68</v>
      </c>
      <c r="N74" s="80">
        <f>N72/Summary!E27</f>
        <v>0</v>
      </c>
      <c r="O74" s="174">
        <f>IF($N$75=$P$56,$R$56,IF($N$75=$P$57,$R$57,IF($N$75=$P$58,$R$58,IF($N$75=$P$59,$R$59,IF($N$75=$P$60,$R$60,$R$62)))))</f>
        <v>-0.51848</v>
      </c>
      <c r="P74" s="103"/>
      <c r="R74" s="109" t="s">
        <v>66</v>
      </c>
      <c r="S74" s="110">
        <f>$S$65*0.2</f>
        <v>0</v>
      </c>
      <c r="T74" s="110"/>
      <c r="U74" s="174">
        <f>IF(S76=$P$56,$Q$56,IF(S76=$P$57,$Q$57,IF($S$76=$P$58,$Q$58,IF($S$76=$P$59,$Q$59,IF($S$76=$P$60,$Q$60,$Q$62)))))</f>
        <v>2.47317</v>
      </c>
    </row>
    <row r="75" spans="1:21" ht="18.75" customHeight="1" thickBot="1">
      <c r="A75" s="89"/>
      <c r="B75" s="90"/>
      <c r="C75" s="90"/>
      <c r="D75" s="90"/>
      <c r="E75" s="90"/>
      <c r="F75" s="90"/>
      <c r="G75" s="90"/>
      <c r="H75" s="90"/>
      <c r="I75" s="91"/>
      <c r="J75" s="195"/>
      <c r="K75" s="85"/>
      <c r="N75" s="80">
        <f>IF(N74&gt;0.475,$P$62,IF(N74&gt;0.425,$P$60,IF(N74&gt;0.375,$P$59,IF(N74&gt;0.325,$P$58,IF(N74&gt;0.2,$P$57,$P$56)))))</f>
        <v>0.1</v>
      </c>
      <c r="O75" s="174">
        <f>IF($N$75=$P$56,$S$56,IF($N$75=$P$57,$S$57,IF($N$75=$P$58,$S$58,IF($N$75=$P$59,$S$59,IF($N$75=$P$60,$S$60,$S$62)))))</f>
        <v>-0.17083</v>
      </c>
      <c r="P75" s="103"/>
      <c r="R75" s="109" t="s">
        <v>68</v>
      </c>
      <c r="S75" s="110">
        <f>S74/Summary!E26</f>
        <v>0</v>
      </c>
      <c r="T75" s="110"/>
      <c r="U75" s="174">
        <f>IF($S$76=$P$56,$R$56,IF($S$76=$P$57,$R$57,IF($S$76=$P$58,$R$58,IF($S$76=$P$59,$R$59,IF($S$76=$P$60,$R$60,$R$62)))))</f>
        <v>-0.51848</v>
      </c>
    </row>
    <row r="76" spans="1:21" ht="18" customHeight="1" thickBot="1">
      <c r="A76" s="89"/>
      <c r="B76" s="124"/>
      <c r="C76" s="981" t="s">
        <v>247</v>
      </c>
      <c r="D76" s="982"/>
      <c r="E76" s="983" t="s">
        <v>248</v>
      </c>
      <c r="F76" s="982"/>
      <c r="G76" s="454" t="s">
        <v>362</v>
      </c>
      <c r="H76" s="90"/>
      <c r="I76" s="91"/>
      <c r="J76" s="85"/>
      <c r="K76" s="85"/>
      <c r="M76" s="109" t="s">
        <v>72</v>
      </c>
      <c r="N76" s="80">
        <f>O72+(O74*LOG($D$47))+((O75*(LOG($D$47)))^2)</f>
        <v>3.066691223438559</v>
      </c>
      <c r="O76" s="80">
        <f>10^(N76)</f>
        <v>1165.980328573946</v>
      </c>
      <c r="P76" s="103"/>
      <c r="Q76" s="85"/>
      <c r="R76" s="85"/>
      <c r="S76" s="80">
        <f>IF(S75&gt;0.475,$P$62,IF(S75&gt;0.425,$P$60,IF(S75&gt;0.375,$P$59,IF(S75&gt;0.325,$P$58,IF(S75&gt;0.2,$P$57,$P$56)))))</f>
        <v>0.1</v>
      </c>
      <c r="U76" s="174">
        <f>IF($S$76=$P$56,$S$56,IF($S$76=$P$57,$S$57,IF($S$76=$P$58,$S$58,IF($S$76=$P$59,$S$59,IF($S$76=$P$60,$S$60,$S$62)))))</f>
        <v>-0.17083</v>
      </c>
    </row>
    <row r="77" spans="1:21" ht="19.5" customHeight="1" thickBot="1">
      <c r="A77" s="187"/>
      <c r="B77" s="201" t="s">
        <v>76</v>
      </c>
      <c r="C77" s="352">
        <f>ROUND(S71,2)</f>
        <v>0</v>
      </c>
      <c r="D77" s="203" t="s">
        <v>74</v>
      </c>
      <c r="E77" s="350">
        <f>ROUND(N62,2)</f>
        <v>0</v>
      </c>
      <c r="F77" s="351" t="s">
        <v>74</v>
      </c>
      <c r="G77" s="455" t="str">
        <f aca="true" t="shared" si="8" ref="G77:G82">IF(C77&gt;0,(E77-C77)/C77,"N/A")</f>
        <v>N/A</v>
      </c>
      <c r="H77" s="984" t="s">
        <v>327</v>
      </c>
      <c r="I77" s="985"/>
      <c r="J77" s="85"/>
      <c r="K77" s="85"/>
      <c r="M77" s="109" t="s">
        <v>73</v>
      </c>
      <c r="N77" s="80">
        <f>C70*C73*(D68)</f>
        <v>0</v>
      </c>
      <c r="O77" s="112" t="s">
        <v>74</v>
      </c>
      <c r="P77" s="103"/>
      <c r="Q77" s="85"/>
      <c r="R77" s="109" t="s">
        <v>72</v>
      </c>
      <c r="S77" s="80">
        <f>U74+(U75*LOG($D$45))+((U76*(LOG($D$45)))^2)</f>
        <v>3.066691223438559</v>
      </c>
      <c r="U77" s="113">
        <f>10^S77</f>
        <v>1165.980328573946</v>
      </c>
    </row>
    <row r="78" spans="1:21" ht="19.5" customHeight="1" thickBot="1">
      <c r="A78" s="204"/>
      <c r="B78" s="201" t="s">
        <v>325</v>
      </c>
      <c r="C78" s="364">
        <f>S78</f>
        <v>0</v>
      </c>
      <c r="D78" s="203" t="s">
        <v>74</v>
      </c>
      <c r="E78" s="364">
        <f>N69</f>
        <v>0</v>
      </c>
      <c r="F78" s="203" t="s">
        <v>74</v>
      </c>
      <c r="G78" s="455" t="str">
        <f t="shared" si="8"/>
        <v>N/A</v>
      </c>
      <c r="H78" s="986"/>
      <c r="I78" s="985"/>
      <c r="J78" s="115"/>
      <c r="K78" s="85"/>
      <c r="L78" s="80" t="s">
        <v>266</v>
      </c>
      <c r="M78" s="109" t="s">
        <v>67</v>
      </c>
      <c r="N78" s="110">
        <f>M32</f>
        <v>0</v>
      </c>
      <c r="O78" s="110"/>
      <c r="P78" s="103"/>
      <c r="Q78" s="85"/>
      <c r="R78" s="109" t="s">
        <v>73</v>
      </c>
      <c r="S78" s="111">
        <f>(F60*U77)*(D59)</f>
        <v>0</v>
      </c>
      <c r="T78" s="111"/>
      <c r="U78" s="111" t="s">
        <v>74</v>
      </c>
    </row>
    <row r="79" spans="1:21" ht="22.5" customHeight="1" thickBot="1">
      <c r="A79" s="204"/>
      <c r="B79" s="201" t="s">
        <v>249</v>
      </c>
      <c r="C79" s="364">
        <f>S85</f>
        <v>0</v>
      </c>
      <c r="D79" s="203" t="s">
        <v>74</v>
      </c>
      <c r="E79" s="364">
        <f>N77</f>
        <v>0</v>
      </c>
      <c r="F79" s="203" t="s">
        <v>74</v>
      </c>
      <c r="G79" s="455" t="str">
        <f t="shared" si="8"/>
        <v>N/A</v>
      </c>
      <c r="H79" s="986"/>
      <c r="I79" s="985"/>
      <c r="J79" s="115"/>
      <c r="K79" s="85"/>
      <c r="M79" s="109" t="s">
        <v>66</v>
      </c>
      <c r="N79" s="109">
        <f>N78*0.2</f>
        <v>0</v>
      </c>
      <c r="O79" s="174">
        <f>IF($N$81=$P$56,$Q$56,IF($N$81=$P$57,$Q$57,IF($N$81=$P$58,$Q$58,IF($N$81=$P$59,$Q$59,IF($N$81=$P$60,$Q$60,$Q$62)))))</f>
        <v>2.47317</v>
      </c>
      <c r="P79" s="103"/>
      <c r="Q79" s="80" t="s">
        <v>259</v>
      </c>
      <c r="R79" s="80" t="s">
        <v>67</v>
      </c>
      <c r="S79" s="110">
        <f>IF(E9&gt;0,(1000/$E$9)-10,0)</f>
        <v>0</v>
      </c>
      <c r="T79" s="110"/>
      <c r="U79" s="110"/>
    </row>
    <row r="80" spans="1:21" ht="21" customHeight="1" thickBot="1">
      <c r="A80" s="204"/>
      <c r="B80" s="201" t="s">
        <v>250</v>
      </c>
      <c r="C80" s="364">
        <f>S91</f>
        <v>0</v>
      </c>
      <c r="D80" s="203" t="s">
        <v>74</v>
      </c>
      <c r="E80" s="364">
        <f>N83</f>
        <v>0</v>
      </c>
      <c r="F80" s="203" t="s">
        <v>74</v>
      </c>
      <c r="G80" s="455" t="str">
        <f t="shared" si="8"/>
        <v>N/A</v>
      </c>
      <c r="H80" s="986"/>
      <c r="I80" s="985"/>
      <c r="J80" s="115"/>
      <c r="K80" s="85"/>
      <c r="M80" s="80" t="s">
        <v>68</v>
      </c>
      <c r="N80" s="80">
        <f>N79/Summary!E28</f>
        <v>0</v>
      </c>
      <c r="O80" s="174">
        <f>IF($N$81=$P$56,$R$56,IF($N$81=$P$57,$R$57,IF($N$81=$P$58,$R$58,IF($N$81=$P$59,$R$59,IF($N$81=$P$60,$R$60,$R$62)))))</f>
        <v>-0.51848</v>
      </c>
      <c r="P80" s="103"/>
      <c r="S80" s="110"/>
      <c r="T80" s="110"/>
      <c r="U80" s="110"/>
    </row>
    <row r="81" spans="1:21" ht="21" customHeight="1" thickBot="1">
      <c r="A81" s="204"/>
      <c r="B81" s="201" t="s">
        <v>324</v>
      </c>
      <c r="C81" s="364">
        <f>S97</f>
        <v>0</v>
      </c>
      <c r="D81" s="203" t="s">
        <v>74</v>
      </c>
      <c r="E81" s="364">
        <f>N89</f>
        <v>0</v>
      </c>
      <c r="F81" s="203" t="s">
        <v>74</v>
      </c>
      <c r="G81" s="455" t="str">
        <f t="shared" si="8"/>
        <v>N/A</v>
      </c>
      <c r="H81" s="986"/>
      <c r="I81" s="985"/>
      <c r="J81" s="115"/>
      <c r="K81" s="85"/>
      <c r="N81" s="80">
        <f>IF(N80&gt;0.475,$P$62,IF(N80&gt;0.425,$P$60,IF(N80&gt;0.375,$P$59,IF(N80&gt;0.325,$P$58,IF(N80&gt;0.2,$P$57,$P$56)))))</f>
        <v>0.1</v>
      </c>
      <c r="O81" s="174">
        <f>IF($N$81=$P$56,$S$56,IF($N$81=$P$57,$S$57,IF($N$81=$P$58,$S$58,IF($N$81=$P$59,$S$59,IF($N$81=$P$60,$S$60,$S$62)))))</f>
        <v>-0.17083</v>
      </c>
      <c r="P81" s="103"/>
      <c r="R81" s="109" t="s">
        <v>66</v>
      </c>
      <c r="S81" s="110">
        <f>$S$65*0.2</f>
        <v>0</v>
      </c>
      <c r="T81" s="110"/>
      <c r="U81" s="174">
        <f>IF(S83=$P$56,$Q$56,IF(S83=$P$57,$Q$57,IF($S$83=$P$58,$Q$58,IF($S$83=$P$59,$Q$59,IF($S$83=$P$60,$Q$60,$Q$62)))))</f>
        <v>2.47317</v>
      </c>
    </row>
    <row r="82" spans="1:21" ht="21.75" customHeight="1" thickBot="1">
      <c r="A82" s="310"/>
      <c r="B82" s="201" t="s">
        <v>251</v>
      </c>
      <c r="C82" s="364">
        <f>S103</f>
        <v>0</v>
      </c>
      <c r="D82" s="203" t="s">
        <v>74</v>
      </c>
      <c r="E82" s="365">
        <f>N95</f>
        <v>0</v>
      </c>
      <c r="F82" s="203" t="s">
        <v>74</v>
      </c>
      <c r="G82" s="455" t="str">
        <f t="shared" si="8"/>
        <v>N/A</v>
      </c>
      <c r="H82" s="986"/>
      <c r="I82" s="985"/>
      <c r="K82" s="85"/>
      <c r="M82" s="109" t="s">
        <v>72</v>
      </c>
      <c r="N82" s="80">
        <f>O79+(O80*LOG($D$47))+((O81*(LOG($D$47)))^2)</f>
        <v>3.066691223438559</v>
      </c>
      <c r="O82" s="80">
        <f>10^(N82)</f>
        <v>1165.980328573946</v>
      </c>
      <c r="P82" s="103"/>
      <c r="R82" s="109" t="s">
        <v>68</v>
      </c>
      <c r="S82" s="110">
        <f>S81/Summary!E27</f>
        <v>0</v>
      </c>
      <c r="T82" s="110"/>
      <c r="U82" s="174">
        <f>IF($S$83=$P$56,$R$56,IF($S$83=$P$57,$R$57,IF($S$83=$P$58,$R$58,IF($S$83=$P$59,$R$59,IF($S$83=$P$60,$R$60,$R$62)))))</f>
        <v>-0.51848</v>
      </c>
    </row>
    <row r="83" spans="1:21" ht="13.5" thickBot="1">
      <c r="A83" s="311"/>
      <c r="B83" s="312"/>
      <c r="C83" s="312"/>
      <c r="D83" s="312"/>
      <c r="E83" s="312"/>
      <c r="F83" s="312"/>
      <c r="G83" s="312"/>
      <c r="H83" s="312"/>
      <c r="I83" s="313"/>
      <c r="K83" s="85"/>
      <c r="M83" s="109" t="s">
        <v>73</v>
      </c>
      <c r="N83" s="80">
        <f>D68*F70*F73</f>
        <v>0</v>
      </c>
      <c r="O83" s="112" t="s">
        <v>74</v>
      </c>
      <c r="P83" s="103"/>
      <c r="Q83" s="85"/>
      <c r="R83" s="85"/>
      <c r="S83" s="80">
        <f>IF(S82&gt;0.475,$P$62,IF(S82&gt;0.425,$P$60,IF(S82&gt;0.375,$P$59,IF(S82&gt;0.325,$P$58,IF(S82&gt;0.2,$P$57,$P$56)))))</f>
        <v>0.1</v>
      </c>
      <c r="U83" s="174">
        <f>IF($S$83=$P$56,$S$56,IF($S$83=$P$57,$S$57,IF($S$83=$P$58,$S$58,IF($S$83=$P$59,$S$59,IF($S$83=$P$60,$S$60,$S$62)))))</f>
        <v>-0.17083</v>
      </c>
    </row>
    <row r="84" spans="1:21" ht="9.75" customHeight="1">
      <c r="A84" s="153"/>
      <c r="B84" s="153"/>
      <c r="C84" s="153"/>
      <c r="D84" s="153"/>
      <c r="E84" s="153"/>
      <c r="F84" s="153"/>
      <c r="G84" s="153"/>
      <c r="H84" s="153"/>
      <c r="I84" s="153"/>
      <c r="K84" s="85"/>
      <c r="L84" s="80" t="s">
        <v>316</v>
      </c>
      <c r="M84" s="109" t="s">
        <v>67</v>
      </c>
      <c r="N84" s="110">
        <f>M33</f>
        <v>0</v>
      </c>
      <c r="O84" s="110"/>
      <c r="P84" s="103"/>
      <c r="Q84" s="85"/>
      <c r="R84" s="109" t="s">
        <v>72</v>
      </c>
      <c r="S84" s="80">
        <f>U81+(U82*LOG($D$45))+((U83*(LOG($D$45)))^2)</f>
        <v>3.066691223438559</v>
      </c>
      <c r="U84" s="113">
        <f>10^S84</f>
        <v>1165.980328573946</v>
      </c>
    </row>
    <row r="85" spans="1:21" ht="12.75" customHeight="1">
      <c r="A85" s="980" t="s">
        <v>326</v>
      </c>
      <c r="B85" s="980"/>
      <c r="C85" s="980"/>
      <c r="D85" s="980"/>
      <c r="E85" s="980"/>
      <c r="F85" s="980"/>
      <c r="G85" s="980"/>
      <c r="H85" s="980"/>
      <c r="I85" s="980"/>
      <c r="K85" s="85"/>
      <c r="M85" s="109" t="s">
        <v>66</v>
      </c>
      <c r="N85" s="109">
        <f>N84*0.2</f>
        <v>0</v>
      </c>
      <c r="O85" s="174">
        <f>IF($N$87=$P$56,$Q$56,IF($N$87=$P$57,$Q$57,IF($N$87=$P$58,$Q$58,IF($N$87=$P$59,$Q$59,IF($N$87=$P$60,$Q$60,$Q$62)))))</f>
        <v>2.47317</v>
      </c>
      <c r="P85" s="103"/>
      <c r="Q85" s="85"/>
      <c r="R85" s="109" t="s">
        <v>73</v>
      </c>
      <c r="S85" s="111">
        <f>(C61*U84)*(D59)</f>
        <v>0</v>
      </c>
      <c r="T85" s="111"/>
      <c r="U85" s="111" t="s">
        <v>74</v>
      </c>
    </row>
    <row r="86" spans="1:21" ht="29.25" customHeight="1">
      <c r="A86" s="980"/>
      <c r="B86" s="980"/>
      <c r="C86" s="980"/>
      <c r="D86" s="980"/>
      <c r="E86" s="980"/>
      <c r="F86" s="980"/>
      <c r="G86" s="980"/>
      <c r="H86" s="980"/>
      <c r="I86" s="980"/>
      <c r="K86" s="85"/>
      <c r="M86" s="80" t="s">
        <v>68</v>
      </c>
      <c r="N86" s="80">
        <f>N85/Summary!E29</f>
        <v>0</v>
      </c>
      <c r="O86" s="174">
        <f>IF($N$87=$P$56,$R$56,IF($N$87=$P$57,$R$57,IF($N$87=$P$58,$R$58,IF($N$87=$P$59,$R$59,IF($N$87=$P$60,$R$60,$R$62)))))</f>
        <v>-0.51848</v>
      </c>
      <c r="P86" s="103"/>
      <c r="Q86" s="80" t="s">
        <v>260</v>
      </c>
      <c r="R86" s="80" t="s">
        <v>67</v>
      </c>
      <c r="S86" s="110">
        <f>IF(E9&gt;0,(1000/$E$9)-10,0)</f>
        <v>0</v>
      </c>
      <c r="T86" s="110"/>
      <c r="U86" s="110"/>
    </row>
    <row r="87" spans="1:21" ht="12.75">
      <c r="A87" s="80"/>
      <c r="B87" s="80"/>
      <c r="C87" s="80"/>
      <c r="D87" s="80"/>
      <c r="E87" s="80"/>
      <c r="F87" s="80"/>
      <c r="G87" s="80"/>
      <c r="H87" s="80"/>
      <c r="I87" s="80"/>
      <c r="K87" s="85"/>
      <c r="N87" s="80">
        <f>IF(N86&gt;0.475,$P$62,IF(N86&gt;0.425,$P$60,IF(N86&gt;0.375,$P$59,IF(N86&gt;0.325,$P$58,IF(N86&gt;0.2,$P$57,$P$56)))))</f>
        <v>0.1</v>
      </c>
      <c r="O87" s="174">
        <f>IF($N$87=$P$56,$S$56,IF($N$87=$P$57,$S$57,IF($N$87=$P$58,$S$58,IF($N$87=$P$59,$S$59,IF($N$87=$P$60,$S$60,$S$62)))))</f>
        <v>-0.17083</v>
      </c>
      <c r="P87" s="103"/>
      <c r="R87" s="109" t="s">
        <v>66</v>
      </c>
      <c r="S87" s="110">
        <f>$S$65*0.2</f>
        <v>0</v>
      </c>
      <c r="T87" s="110"/>
      <c r="U87" s="174">
        <f>IF(S89=$P$56,$Q$56,IF(S89=$P$57,$Q$57,IF($S$89=$P$58,$Q$58,IF($S$89=$P$59,$Q$59,IF($S$89=$P$60,$Q$60,$Q$62)))))</f>
        <v>2.47317</v>
      </c>
    </row>
    <row r="88" spans="1:21" ht="12.75">
      <c r="A88" s="80"/>
      <c r="B88" s="80"/>
      <c r="C88" s="80"/>
      <c r="D88" s="80"/>
      <c r="E88" s="80"/>
      <c r="F88" s="80"/>
      <c r="G88" s="80"/>
      <c r="H88" s="80"/>
      <c r="I88" s="80"/>
      <c r="K88" s="85"/>
      <c r="M88" s="109" t="s">
        <v>72</v>
      </c>
      <c r="N88" s="80">
        <f>O85+(O86*LOG($D$47))+((O87*(LOG($D$47)))^2)</f>
        <v>3.066691223438559</v>
      </c>
      <c r="O88" s="80">
        <f>10^(N88)</f>
        <v>1165.980328573946</v>
      </c>
      <c r="P88" s="103"/>
      <c r="R88" s="109" t="s">
        <v>68</v>
      </c>
      <c r="S88" s="110">
        <f>S87/Summary!E28</f>
        <v>0</v>
      </c>
      <c r="T88" s="110"/>
      <c r="U88" s="174">
        <f>IF($S$89=$P$56,$R$56,IF($S$89=$P$57,$R$57,IF($S$89=$P$58,$R$58,IF($S$89=$P$59,$R$59,IF($S$68=$P$60,$R$60,$R$62)))))</f>
        <v>-0.51848</v>
      </c>
    </row>
    <row r="89" spans="1:21" ht="12.75">
      <c r="A89" s="80"/>
      <c r="B89" s="80"/>
      <c r="C89" s="80"/>
      <c r="D89" s="80"/>
      <c r="E89" s="80"/>
      <c r="F89" s="80"/>
      <c r="G89" s="80"/>
      <c r="H89" s="80"/>
      <c r="I89" s="80"/>
      <c r="K89" s="85"/>
      <c r="M89" s="109" t="s">
        <v>73</v>
      </c>
      <c r="N89" s="80">
        <f>D68*O88*C71</f>
        <v>0</v>
      </c>
      <c r="O89" s="112" t="s">
        <v>74</v>
      </c>
      <c r="P89" s="103"/>
      <c r="Q89" s="85"/>
      <c r="R89" s="85"/>
      <c r="S89" s="80">
        <f>IF(S88&gt;0.475,$P$62,IF(S88&gt;0.425,$P$60,IF(S88&gt;0.375,$P$59,IF(S88&gt;0.325,$P$58,IF(S88&gt;0.2,$P$57,$P$56)))))</f>
        <v>0.1</v>
      </c>
      <c r="U89" s="174">
        <f>IF($S$89=$P$56,$S$56,IF($S$89=$P$57,$S$57,IF($S$89=$P$58,$S$58,IF($S$89=$P$59,$S$59,IF($S$89=$P$60,$S$60,$S$62)))))</f>
        <v>-0.17083</v>
      </c>
    </row>
    <row r="90" spans="1:21" ht="12.75">
      <c r="A90" s="80"/>
      <c r="B90" s="80"/>
      <c r="C90" s="80"/>
      <c r="D90" s="80"/>
      <c r="E90" s="80"/>
      <c r="F90" s="80"/>
      <c r="G90" s="80"/>
      <c r="H90" s="80"/>
      <c r="I90" s="80"/>
      <c r="K90" s="85"/>
      <c r="L90" s="80" t="s">
        <v>267</v>
      </c>
      <c r="M90" s="109" t="s">
        <v>67</v>
      </c>
      <c r="N90" s="110">
        <f>M34</f>
        <v>0</v>
      </c>
      <c r="O90" s="110"/>
      <c r="P90" s="85"/>
      <c r="Q90" s="85"/>
      <c r="R90" s="109" t="s">
        <v>72</v>
      </c>
      <c r="S90" s="80">
        <f>U87+(U88*LOG(D45))+((U89*(LOG(D45)))^2)</f>
        <v>3.066691223438559</v>
      </c>
      <c r="U90" s="113">
        <f>10^S90</f>
        <v>1165.980328573946</v>
      </c>
    </row>
    <row r="91" spans="1:21" ht="12.75">
      <c r="A91" s="80"/>
      <c r="B91" s="80"/>
      <c r="C91" s="80"/>
      <c r="D91" s="80"/>
      <c r="E91" s="80"/>
      <c r="F91" s="80"/>
      <c r="G91" s="80"/>
      <c r="H91" s="80"/>
      <c r="I91" s="80"/>
      <c r="K91" s="85"/>
      <c r="M91" s="109" t="s">
        <v>66</v>
      </c>
      <c r="N91" s="109">
        <f>N90*0.2</f>
        <v>0</v>
      </c>
      <c r="O91" s="174">
        <f>IF($N$93=$P$56,$Q$56,IF($N$93=$P$57,$Q$57,IF($N$93=$P$58,$Q$58,IF($N$93=$P$59,$Q$59,IF($N$93=$P$60,$Q$60,$Q$62)))))</f>
        <v>2.47317</v>
      </c>
      <c r="P91" s="85"/>
      <c r="Q91" s="85"/>
      <c r="R91" s="109" t="s">
        <v>73</v>
      </c>
      <c r="S91" s="111">
        <f>(F61*F64)*(D59)</f>
        <v>0</v>
      </c>
      <c r="T91" s="111"/>
      <c r="U91" s="111" t="s">
        <v>74</v>
      </c>
    </row>
    <row r="92" spans="11:124" s="80" customFormat="1" ht="12.75">
      <c r="K92" s="85"/>
      <c r="M92" s="80" t="s">
        <v>68</v>
      </c>
      <c r="N92" s="80">
        <f>N91/Summary!E30</f>
        <v>0</v>
      </c>
      <c r="O92" s="174">
        <f>IF($N$93=$P$56,$R$56,IF($N$93=$P$57,$R$57,IF($N$93=$P$58,$R$58,IF($N$93=$P$59,$R$59,IF($N$93=$P$60,$R$60,$R$62)))))</f>
        <v>-0.51848</v>
      </c>
      <c r="P92" s="85"/>
      <c r="Q92" s="80" t="s">
        <v>323</v>
      </c>
      <c r="R92" s="80" t="s">
        <v>67</v>
      </c>
      <c r="S92" s="110">
        <f>IF(E9&gt;0,(1000/$E$9)-10,0)</f>
        <v>0</v>
      </c>
      <c r="T92" s="110"/>
      <c r="U92" s="110"/>
      <c r="CC92" s="171"/>
      <c r="CD92" s="171"/>
      <c r="CE92" s="171"/>
      <c r="CF92" s="171"/>
      <c r="CG92" s="171"/>
      <c r="CH92" s="171"/>
      <c r="CI92" s="171"/>
      <c r="CJ92" s="171"/>
      <c r="CK92" s="171"/>
      <c r="CL92" s="171"/>
      <c r="CM92" s="171"/>
      <c r="CN92" s="171"/>
      <c r="CO92" s="171"/>
      <c r="CP92" s="171"/>
      <c r="CQ92" s="171"/>
      <c r="CR92" s="171"/>
      <c r="CS92" s="171"/>
      <c r="CT92" s="171"/>
      <c r="CU92" s="171"/>
      <c r="CV92" s="171"/>
      <c r="CW92" s="171"/>
      <c r="CX92" s="171"/>
      <c r="CY92" s="171"/>
      <c r="CZ92" s="171"/>
      <c r="DA92" s="171"/>
      <c r="DB92" s="171"/>
      <c r="DC92" s="171"/>
      <c r="DD92" s="171"/>
      <c r="DE92" s="171"/>
      <c r="DF92" s="171"/>
      <c r="DG92" s="171"/>
      <c r="DH92" s="171"/>
      <c r="DI92" s="171"/>
      <c r="DJ92" s="171"/>
      <c r="DK92" s="171"/>
      <c r="DL92" s="171"/>
      <c r="DM92" s="171"/>
      <c r="DN92" s="171"/>
      <c r="DO92" s="171"/>
      <c r="DP92" s="171"/>
      <c r="DQ92" s="171"/>
      <c r="DR92" s="171"/>
      <c r="DS92" s="171"/>
      <c r="DT92" s="171"/>
    </row>
    <row r="93" spans="11:124" s="80" customFormat="1" ht="12.75">
      <c r="K93" s="85"/>
      <c r="N93" s="80">
        <f>IF(N92&gt;0.475,$P$62,IF(N92&gt;0.425,$P$60,IF(N92&gt;0.375,$P$59,IF(N92&gt;0.325,$P$58,IF(N92&gt;0.2,$P$57,$P$56)))))</f>
        <v>0.1</v>
      </c>
      <c r="O93" s="174">
        <f>IF($N$93=$P$56,$S$56,IF($N$93=$P$57,$S$57,IF($N$93=$P$58,$S$58,IF($N$93=$P$59,$S$59,IF($N$93=$P$60,$S$60,$S$62)))))</f>
        <v>-0.17083</v>
      </c>
      <c r="P93" s="85"/>
      <c r="R93" s="109" t="s">
        <v>66</v>
      </c>
      <c r="S93" s="110">
        <f>$S$65*0.2</f>
        <v>0</v>
      </c>
      <c r="T93" s="110"/>
      <c r="U93" s="174">
        <f>IF(S95=$P$56,$Q$56,IF(S95=$P$57,$Q$57,IF(S95=$P$58,$Q$58,IF(S95=$P$59,$Q$59,IF(S95=$P$60,$Q$60,$Q$62)))))</f>
        <v>2.47317</v>
      </c>
      <c r="CC93" s="171"/>
      <c r="CD93" s="171"/>
      <c r="CE93" s="171"/>
      <c r="CF93" s="171"/>
      <c r="CG93" s="171"/>
      <c r="CH93" s="171"/>
      <c r="CI93" s="171"/>
      <c r="CJ93" s="171"/>
      <c r="CK93" s="171"/>
      <c r="CL93" s="171"/>
      <c r="CM93" s="171"/>
      <c r="CN93" s="171"/>
      <c r="CO93" s="171"/>
      <c r="CP93" s="171"/>
      <c r="CQ93" s="171"/>
      <c r="CR93" s="171"/>
      <c r="CS93" s="171"/>
      <c r="CT93" s="171"/>
      <c r="CU93" s="171"/>
      <c r="CV93" s="171"/>
      <c r="CW93" s="171"/>
      <c r="CX93" s="171"/>
      <c r="CY93" s="171"/>
      <c r="CZ93" s="171"/>
      <c r="DA93" s="171"/>
      <c r="DB93" s="171"/>
      <c r="DC93" s="171"/>
      <c r="DD93" s="171"/>
      <c r="DE93" s="171"/>
      <c r="DF93" s="171"/>
      <c r="DG93" s="171"/>
      <c r="DH93" s="171"/>
      <c r="DI93" s="171"/>
      <c r="DJ93" s="171"/>
      <c r="DK93" s="171"/>
      <c r="DL93" s="171"/>
      <c r="DM93" s="171"/>
      <c r="DN93" s="171"/>
      <c r="DO93" s="171"/>
      <c r="DP93" s="171"/>
      <c r="DQ93" s="171"/>
      <c r="DR93" s="171"/>
      <c r="DS93" s="171"/>
      <c r="DT93" s="171"/>
    </row>
    <row r="94" spans="11:124" s="80" customFormat="1" ht="12.75">
      <c r="K94" s="85"/>
      <c r="M94" s="109" t="s">
        <v>72</v>
      </c>
      <c r="N94" s="80">
        <f>O91+(O92*LOG($D$47))+((O93*(LOG($D$47)))^2)</f>
        <v>3.066691223438559</v>
      </c>
      <c r="O94" s="80">
        <f>10^(N94)</f>
        <v>1165.980328573946</v>
      </c>
      <c r="P94" s="85"/>
      <c r="R94" s="109" t="s">
        <v>68</v>
      </c>
      <c r="S94" s="110">
        <f>S93/Summary!E29</f>
        <v>0</v>
      </c>
      <c r="T94" s="110"/>
      <c r="U94" s="174">
        <f>IF(S95=$P$56,$R$56,IF(S95=$P$57,$R$57,IF(S95=$P$58,$R$58,IF(S95=$P$59,$R$59,IF(S95=$P$60,$R$60,$R$62)))))</f>
        <v>-0.51848</v>
      </c>
      <c r="CC94" s="171"/>
      <c r="CD94" s="171"/>
      <c r="CE94" s="171"/>
      <c r="CF94" s="171"/>
      <c r="CG94" s="171"/>
      <c r="CH94" s="171"/>
      <c r="CI94" s="171"/>
      <c r="CJ94" s="171"/>
      <c r="CK94" s="171"/>
      <c r="CL94" s="171"/>
      <c r="CM94" s="171"/>
      <c r="CN94" s="171"/>
      <c r="CO94" s="171"/>
      <c r="CP94" s="171"/>
      <c r="CQ94" s="171"/>
      <c r="CR94" s="171"/>
      <c r="CS94" s="171"/>
      <c r="CT94" s="171"/>
      <c r="CU94" s="171"/>
      <c r="CV94" s="171"/>
      <c r="CW94" s="171"/>
      <c r="CX94" s="171"/>
      <c r="CY94" s="171"/>
      <c r="CZ94" s="171"/>
      <c r="DA94" s="171"/>
      <c r="DB94" s="171"/>
      <c r="DC94" s="171"/>
      <c r="DD94" s="171"/>
      <c r="DE94" s="171"/>
      <c r="DF94" s="171"/>
      <c r="DG94" s="171"/>
      <c r="DH94" s="171"/>
      <c r="DI94" s="171"/>
      <c r="DJ94" s="171"/>
      <c r="DK94" s="171"/>
      <c r="DL94" s="171"/>
      <c r="DM94" s="171"/>
      <c r="DN94" s="171"/>
      <c r="DO94" s="171"/>
      <c r="DP94" s="171"/>
      <c r="DQ94" s="171"/>
      <c r="DR94" s="171"/>
      <c r="DS94" s="171"/>
      <c r="DT94" s="171"/>
    </row>
    <row r="95" spans="13:124" s="80" customFormat="1" ht="12.75">
      <c r="M95" s="109" t="s">
        <v>73</v>
      </c>
      <c r="N95" s="80">
        <f>D68*F71*F74</f>
        <v>0</v>
      </c>
      <c r="O95" s="112" t="s">
        <v>74</v>
      </c>
      <c r="Q95" s="85"/>
      <c r="R95" s="85"/>
      <c r="S95" s="80">
        <f>IF(S94&gt;0.475,$P$62,IF(S94&gt;0.425,$P$60,IF(S94&gt;0.375,$P$59,IF(S94&gt;0.325,$P$58,IF(S94&gt;0.2,$P$57,$P$56)))))</f>
        <v>0.1</v>
      </c>
      <c r="U95" s="174">
        <f>IF(S95=$P$56,$S$56,IF(S95=$P$57,$S$57,IF(S95=$P$58,$S$58,IF(S95=$P$59,$S$59,IF(S95=$P$60,$S$60,$S$62)))))</f>
        <v>-0.17083</v>
      </c>
      <c r="CC95" s="171"/>
      <c r="CD95" s="171"/>
      <c r="CE95" s="171"/>
      <c r="CF95" s="171"/>
      <c r="CG95" s="171"/>
      <c r="CH95" s="171"/>
      <c r="CI95" s="171"/>
      <c r="CJ95" s="171"/>
      <c r="CK95" s="171"/>
      <c r="CL95" s="171"/>
      <c r="CM95" s="171"/>
      <c r="CN95" s="171"/>
      <c r="CO95" s="171"/>
      <c r="CP95" s="171"/>
      <c r="CQ95" s="171"/>
      <c r="CR95" s="171"/>
      <c r="CS95" s="171"/>
      <c r="CT95" s="171"/>
      <c r="CU95" s="171"/>
      <c r="CV95" s="171"/>
      <c r="CW95" s="171"/>
      <c r="CX95" s="171"/>
      <c r="CY95" s="171"/>
      <c r="CZ95" s="171"/>
      <c r="DA95" s="171"/>
      <c r="DB95" s="171"/>
      <c r="DC95" s="171"/>
      <c r="DD95" s="171"/>
      <c r="DE95" s="171"/>
      <c r="DF95" s="171"/>
      <c r="DG95" s="171"/>
      <c r="DH95" s="171"/>
      <c r="DI95" s="171"/>
      <c r="DJ95" s="171"/>
      <c r="DK95" s="171"/>
      <c r="DL95" s="171"/>
      <c r="DM95" s="171"/>
      <c r="DN95" s="171"/>
      <c r="DO95" s="171"/>
      <c r="DP95" s="171"/>
      <c r="DQ95" s="171"/>
      <c r="DR95" s="171"/>
      <c r="DS95" s="171"/>
      <c r="DT95" s="171"/>
    </row>
    <row r="96" spans="17:21" s="80" customFormat="1" ht="12.75">
      <c r="Q96" s="85"/>
      <c r="R96" s="109" t="s">
        <v>72</v>
      </c>
      <c r="S96" s="80">
        <f>U93+(U94*LOG(D45))+((U95*(LOG(D45)))^2)</f>
        <v>3.066691223438559</v>
      </c>
      <c r="U96" s="113">
        <f>10^S96</f>
        <v>1165.980328573946</v>
      </c>
    </row>
    <row r="97" spans="17:21" s="80" customFormat="1" ht="12.75">
      <c r="Q97" s="85"/>
      <c r="R97" s="109" t="s">
        <v>73</v>
      </c>
      <c r="S97" s="111">
        <f>D59*C62*U96</f>
        <v>0</v>
      </c>
      <c r="T97" s="111"/>
      <c r="U97" s="111" t="s">
        <v>74</v>
      </c>
    </row>
    <row r="98" spans="17:21" s="80" customFormat="1" ht="12.75">
      <c r="Q98" s="80" t="s">
        <v>261</v>
      </c>
      <c r="R98" s="80" t="s">
        <v>67</v>
      </c>
      <c r="S98" s="110">
        <f>IF(E9&gt;0,(1000/$E$9)-10,0)</f>
        <v>0</v>
      </c>
      <c r="T98" s="110"/>
      <c r="U98" s="110"/>
    </row>
    <row r="99" spans="18:21" s="80" customFormat="1" ht="12.75">
      <c r="R99" s="109" t="s">
        <v>66</v>
      </c>
      <c r="S99" s="110">
        <f>$S$65*0.2</f>
        <v>0</v>
      </c>
      <c r="T99" s="110"/>
      <c r="U99" s="174">
        <f>IF(S101=$P$56,$Q$56,IF(S101=$P$57,$Q$57,IF(S101=$P$58,$Q$58,IF(S101=$P$59,$Q$59,IF(S101=$P$60,$Q$60,$Q$62)))))</f>
        <v>2.47317</v>
      </c>
    </row>
    <row r="100" spans="18:21" s="80" customFormat="1" ht="12.75">
      <c r="R100" s="109" t="s">
        <v>68</v>
      </c>
      <c r="S100" s="110">
        <f>S99/Summary!E30</f>
        <v>0</v>
      </c>
      <c r="T100" s="110"/>
      <c r="U100" s="174">
        <f>IF(S101=$P$56,$R$56,IF(S101=$P$57,$R$57,IF(S101=$P$58,$R$58,IF(S101=$P$59,$R$59,IF(S101=$P$60,$R$60,$R$62)))))</f>
        <v>-0.51848</v>
      </c>
    </row>
    <row r="101" spans="17:21" s="80" customFormat="1" ht="12.75">
      <c r="Q101" s="85"/>
      <c r="R101" s="85"/>
      <c r="S101" s="80">
        <f>IF(S100&gt;0.475,$P$62,IF(S100&gt;0.425,$P$60,IF(S100&gt;0.375,$P$59,IF(S100&gt;0.325,$P$58,IF(S100&gt;0.2,$P$57,$P$56)))))</f>
        <v>0.1</v>
      </c>
      <c r="U101" s="174">
        <f>IF(S101=$P$56,$S$56,IF(S101=$P$57,$S$57,IF(S101=$P$58,$S$58,IF(S101=$P$59,$S$59,IF(S101=$P$60,$S$60,$S$62)))))</f>
        <v>-0.17083</v>
      </c>
    </row>
    <row r="102" spans="17:21" s="80" customFormat="1" ht="12.75">
      <c r="Q102" s="85"/>
      <c r="R102" s="109" t="s">
        <v>72</v>
      </c>
      <c r="S102" s="80">
        <f>U99+(U100*LOG(D45))+((U101*(LOG(D45)))^2)</f>
        <v>3.066691223438559</v>
      </c>
      <c r="U102" s="113">
        <f>10^S102</f>
        <v>1165.980328573946</v>
      </c>
    </row>
    <row r="103" spans="17:21" s="80" customFormat="1" ht="12.75">
      <c r="Q103" s="85"/>
      <c r="R103" s="109" t="s">
        <v>73</v>
      </c>
      <c r="S103" s="111">
        <f>F65*D59*F62</f>
        <v>0</v>
      </c>
      <c r="T103" s="111"/>
      <c r="U103" s="111" t="s">
        <v>74</v>
      </c>
    </row>
    <row r="104" s="80" customFormat="1" ht="12.75"/>
    <row r="105" s="80" customFormat="1" ht="12.75"/>
    <row r="106" s="80" customFormat="1" ht="12.75"/>
    <row r="107" s="80" customFormat="1" ht="12.75"/>
    <row r="108" s="80" customFormat="1" ht="12.75"/>
    <row r="109" s="80" customFormat="1" ht="12.75"/>
    <row r="110" s="80" customFormat="1" ht="12.75"/>
    <row r="111" s="80" customFormat="1" ht="12.75"/>
    <row r="112" s="80" customFormat="1" ht="12.75"/>
    <row r="113" s="80" customFormat="1" ht="12.75"/>
    <row r="114" s="80" customFormat="1" ht="12.75"/>
    <row r="115" s="80" customFormat="1" ht="12.75"/>
    <row r="116" s="80" customFormat="1" ht="12.75"/>
    <row r="117" s="80" customFormat="1" ht="12.75"/>
    <row r="118" s="80" customFormat="1" ht="12.75"/>
    <row r="119" s="80" customFormat="1" ht="12.75"/>
    <row r="120" s="80" customFormat="1" ht="12.75"/>
    <row r="121" s="80" customFormat="1" ht="12.75"/>
    <row r="122" s="80" customFormat="1" ht="12.75"/>
    <row r="123" s="80" customFormat="1" ht="12.75"/>
    <row r="124" s="80" customFormat="1" ht="12.75"/>
    <row r="125" s="80" customFormat="1" ht="12.75"/>
    <row r="126" s="80" customFormat="1" ht="12.75"/>
    <row r="127" s="80" customFormat="1" ht="12.75"/>
    <row r="128" s="80" customFormat="1" ht="12.75"/>
    <row r="129" s="80" customFormat="1" ht="12.75"/>
    <row r="130" s="80" customFormat="1" ht="12.75"/>
    <row r="131" s="80" customFormat="1" ht="12.75"/>
    <row r="132" s="80" customFormat="1" ht="12.75"/>
    <row r="133" s="80" customFormat="1" ht="12.75"/>
    <row r="134" s="80" customFormat="1" ht="12.75"/>
    <row r="135" s="80" customFormat="1" ht="12.75"/>
    <row r="136" s="80" customFormat="1" ht="12.75"/>
    <row r="137" s="80" customFormat="1" ht="12.75"/>
    <row r="138" s="80" customFormat="1" ht="12.75"/>
    <row r="139" s="80" customFormat="1" ht="12.75"/>
    <row r="140" s="80" customFormat="1" ht="12.75"/>
    <row r="141" s="80" customFormat="1" ht="12.75"/>
    <row r="142" s="80" customFormat="1" ht="12.75"/>
    <row r="143" s="80" customFormat="1" ht="12.75"/>
    <row r="144" s="80" customFormat="1" ht="12.75"/>
    <row r="145" s="80" customFormat="1" ht="12.75"/>
    <row r="146" s="80" customFormat="1" ht="12.75"/>
    <row r="147" s="80" customFormat="1" ht="12.75"/>
    <row r="148" s="80" customFormat="1" ht="12.75"/>
    <row r="149" s="80" customFormat="1" ht="12.75"/>
    <row r="150" s="80" customFormat="1" ht="12.75"/>
    <row r="151" s="80" customFormat="1" ht="12.75"/>
    <row r="152" s="80" customFormat="1" ht="12.75"/>
    <row r="153" s="80" customFormat="1" ht="12.75"/>
    <row r="154" s="80" customFormat="1" ht="12.75"/>
    <row r="155" s="80" customFormat="1" ht="12.75"/>
    <row r="156" s="80" customFormat="1" ht="12.75"/>
    <row r="157" s="80" customFormat="1" ht="12.75"/>
    <row r="158" s="80" customFormat="1" ht="12.75"/>
    <row r="159" s="80" customFormat="1" ht="12.75"/>
    <row r="160" s="80" customFormat="1" ht="12.75"/>
    <row r="161" s="80" customFormat="1" ht="12.75"/>
    <row r="162" s="80" customFormat="1" ht="12.75"/>
    <row r="163" s="80" customFormat="1" ht="12.75"/>
    <row r="164" s="80" customFormat="1" ht="12.75"/>
    <row r="165" s="80" customFormat="1" ht="12.75"/>
    <row r="166" s="80" customFormat="1" ht="12.75"/>
    <row r="167" s="80" customFormat="1" ht="12.75"/>
    <row r="168" s="80" customFormat="1" ht="12.75"/>
    <row r="169" s="80" customFormat="1" ht="12.75"/>
    <row r="170" s="80" customFormat="1" ht="12.75"/>
    <row r="171" s="80" customFormat="1" ht="12.75"/>
    <row r="172" s="80" customFormat="1" ht="12.75"/>
    <row r="173" s="80" customFormat="1" ht="12.75"/>
    <row r="174" s="80" customFormat="1" ht="12.75"/>
    <row r="175" s="80" customFormat="1" ht="12.75"/>
    <row r="176" s="80" customFormat="1" ht="12.75"/>
    <row r="177" s="80" customFormat="1" ht="12.75"/>
    <row r="178" s="80" customFormat="1" ht="12.75"/>
    <row r="179" s="80" customFormat="1" ht="12.75"/>
    <row r="180" s="80" customFormat="1" ht="12.75"/>
    <row r="181" s="80" customFormat="1" ht="12.75"/>
    <row r="182" s="80" customFormat="1" ht="12.75"/>
    <row r="183" s="80" customFormat="1" ht="12.75"/>
    <row r="184" s="80" customFormat="1" ht="12.75"/>
    <row r="185" s="80" customFormat="1" ht="12.75"/>
    <row r="186" s="80" customFormat="1" ht="12.75"/>
    <row r="187" s="80" customFormat="1" ht="12.75"/>
    <row r="188" s="80" customFormat="1" ht="12.75"/>
    <row r="189" s="80" customFormat="1" ht="12.75"/>
    <row r="190" s="80" customFormat="1" ht="12.75"/>
    <row r="191" s="80" customFormat="1" ht="12.75"/>
    <row r="192" s="80" customFormat="1" ht="12.75"/>
    <row r="193" s="80" customFormat="1" ht="12.75"/>
    <row r="194" s="80" customFormat="1" ht="12.75"/>
    <row r="195" s="80" customFormat="1" ht="12.75"/>
    <row r="196" s="80" customFormat="1" ht="12.75"/>
    <row r="197" s="80" customFormat="1" ht="12.75"/>
    <row r="198" s="80" customFormat="1" ht="12.75"/>
    <row r="199" s="80" customFormat="1" ht="12.75"/>
    <row r="200" s="80" customFormat="1" ht="12.75"/>
    <row r="201" s="80" customFormat="1" ht="12.75"/>
    <row r="202" s="80" customFormat="1" ht="12.75"/>
    <row r="203" s="80" customFormat="1" ht="12.75"/>
    <row r="204" s="80" customFormat="1" ht="12.75"/>
    <row r="205" s="80" customFormat="1" ht="12.75"/>
    <row r="206" s="80" customFormat="1" ht="12.75"/>
    <row r="207" s="80" customFormat="1" ht="12.75"/>
    <row r="208" s="80" customFormat="1" ht="12.75"/>
    <row r="209" s="80" customFormat="1" ht="12.75"/>
    <row r="210" s="80" customFormat="1" ht="12.75"/>
    <row r="211" s="80" customFormat="1" ht="12.75"/>
    <row r="212" s="80" customFormat="1" ht="12.75"/>
    <row r="213" s="80" customFormat="1" ht="12.75"/>
    <row r="214" s="80" customFormat="1" ht="12.75"/>
    <row r="215" s="80" customFormat="1" ht="12.75"/>
    <row r="216" s="80" customFormat="1" ht="12.75"/>
    <row r="217" s="80" customFormat="1" ht="12.75"/>
    <row r="218" s="80" customFormat="1" ht="12.75"/>
    <row r="219" s="80" customFormat="1" ht="12.75"/>
    <row r="220" s="80" customFormat="1" ht="12.75"/>
    <row r="221" s="80" customFormat="1" ht="12.75"/>
    <row r="222" s="80" customFormat="1" ht="12.75"/>
    <row r="223" s="80" customFormat="1" ht="12.75"/>
    <row r="224" s="80" customFormat="1" ht="12.75"/>
    <row r="225" s="80" customFormat="1" ht="12.75"/>
    <row r="226" s="80" customFormat="1" ht="12.75"/>
    <row r="227" s="80" customFormat="1" ht="12.75"/>
    <row r="228" s="80" customFormat="1" ht="12.75"/>
    <row r="229" s="80" customFormat="1" ht="12.75"/>
    <row r="230" s="80" customFormat="1" ht="12.75"/>
    <row r="231" s="80" customFormat="1" ht="12.75"/>
    <row r="232" s="80" customFormat="1" ht="12.75"/>
    <row r="233" s="80" customFormat="1" ht="12.75"/>
    <row r="234" s="80" customFormat="1" ht="12.75"/>
    <row r="235" s="80" customFormat="1" ht="12.75"/>
    <row r="236" s="80" customFormat="1" ht="12.75"/>
    <row r="237" s="80" customFormat="1" ht="12.75"/>
    <row r="238" s="80" customFormat="1" ht="12.75"/>
    <row r="239" s="80" customFormat="1" ht="12.75"/>
    <row r="240" s="80" customFormat="1" ht="12.75"/>
    <row r="241" s="80" customFormat="1" ht="12.75"/>
    <row r="242" s="80" customFormat="1" ht="12.75"/>
    <row r="243" s="80" customFormat="1" ht="12.75"/>
    <row r="244" s="80" customFormat="1" ht="12.75"/>
    <row r="245" s="80" customFormat="1" ht="12.75"/>
    <row r="246" s="80" customFormat="1" ht="12.75"/>
    <row r="247" s="80" customFormat="1" ht="12.75"/>
    <row r="248" s="80" customFormat="1" ht="12.75"/>
    <row r="249" s="80" customFormat="1" ht="12.75"/>
    <row r="250" s="80" customFormat="1" ht="12.75"/>
    <row r="251" s="80" customFormat="1" ht="12.75"/>
    <row r="252" s="80" customFormat="1" ht="12.75"/>
    <row r="253" s="80" customFormat="1" ht="12.75"/>
    <row r="254" s="80" customFormat="1" ht="12.75"/>
    <row r="255" s="80" customFormat="1" ht="12.75"/>
    <row r="256" s="80" customFormat="1" ht="12.75"/>
    <row r="257" s="80" customFormat="1" ht="12.75"/>
    <row r="258" s="80" customFormat="1" ht="12.75"/>
    <row r="259" s="80" customFormat="1" ht="12.75"/>
    <row r="260" s="80" customFormat="1" ht="12.75"/>
    <row r="261" s="80" customFormat="1" ht="12.75"/>
    <row r="262" s="80" customFormat="1" ht="12.75"/>
    <row r="263" s="80" customFormat="1" ht="12.75"/>
    <row r="264" s="80" customFormat="1" ht="12.75"/>
    <row r="265" s="80" customFormat="1" ht="12.75"/>
    <row r="266" s="80" customFormat="1" ht="12.75"/>
    <row r="267" s="80" customFormat="1" ht="12.75"/>
    <row r="268" s="80" customFormat="1" ht="12.75"/>
    <row r="269" s="80" customFormat="1" ht="12.75"/>
    <row r="270" s="80" customFormat="1" ht="12.75"/>
    <row r="271" s="80" customFormat="1" ht="12.75"/>
    <row r="272" s="80" customFormat="1" ht="12.75"/>
    <row r="273" s="80" customFormat="1" ht="12.75"/>
    <row r="274" s="80" customFormat="1" ht="12.75"/>
    <row r="275" s="80" customFormat="1" ht="12.75"/>
    <row r="276" s="80" customFormat="1" ht="12.75"/>
    <row r="277" s="80" customFormat="1" ht="12.75"/>
    <row r="278" s="80" customFormat="1" ht="12.75"/>
    <row r="279" s="80" customFormat="1" ht="12.75"/>
    <row r="280" s="80" customFormat="1" ht="12.75"/>
    <row r="281" s="80" customFormat="1" ht="12.75"/>
    <row r="282" s="80" customFormat="1" ht="12.75"/>
    <row r="283" s="80" customFormat="1" ht="12.75"/>
    <row r="284" s="80" customFormat="1" ht="12.75"/>
    <row r="285" s="80" customFormat="1" ht="12.75"/>
    <row r="286" s="80" customFormat="1" ht="12.75"/>
    <row r="287" s="80" customFormat="1" ht="12.75"/>
    <row r="288" s="80" customFormat="1" ht="12.75"/>
    <row r="289" s="80" customFormat="1" ht="12.75"/>
    <row r="290" s="80" customFormat="1" ht="12.75"/>
    <row r="291" s="80" customFormat="1" ht="12.75"/>
    <row r="292" s="80" customFormat="1" ht="12.75"/>
    <row r="293" s="80" customFormat="1" ht="12.75"/>
    <row r="294" s="80" customFormat="1" ht="12.75"/>
    <row r="295" s="80" customFormat="1" ht="12.75"/>
    <row r="296" s="80" customFormat="1" ht="12.75"/>
    <row r="297" s="80" customFormat="1" ht="12.75"/>
    <row r="298" s="80" customFormat="1" ht="12.75"/>
    <row r="299" s="80" customFormat="1" ht="12.75"/>
    <row r="300" s="80" customFormat="1" ht="12.75"/>
    <row r="301" s="80" customFormat="1" ht="12.75"/>
    <row r="302" s="80" customFormat="1" ht="12.75"/>
    <row r="303" s="80" customFormat="1" ht="12.75"/>
    <row r="304" s="80" customFormat="1" ht="12.75"/>
    <row r="305" s="80" customFormat="1" ht="12.75"/>
    <row r="306" s="80" customFormat="1" ht="12.75"/>
    <row r="307" s="80" customFormat="1" ht="12.75"/>
    <row r="308" s="80" customFormat="1" ht="12.75"/>
    <row r="309" s="80" customFormat="1" ht="12.75"/>
    <row r="310" s="80" customFormat="1" ht="12.75"/>
    <row r="311" s="80" customFormat="1" ht="12.75"/>
    <row r="312" s="80" customFormat="1" ht="12.75"/>
    <row r="313" s="80" customFormat="1" ht="12.75"/>
    <row r="314" s="80" customFormat="1" ht="12.75"/>
    <row r="315" s="80" customFormat="1" ht="12.75"/>
    <row r="316" s="80" customFormat="1" ht="12.75"/>
    <row r="317" s="80" customFormat="1" ht="12.75"/>
    <row r="318" s="80" customFormat="1" ht="12.75"/>
    <row r="319" s="80" customFormat="1" ht="12.75"/>
    <row r="320" s="80" customFormat="1" ht="12.75"/>
    <row r="321" s="80" customFormat="1" ht="12.75"/>
    <row r="322" s="80" customFormat="1" ht="12.75"/>
    <row r="323" s="80" customFormat="1" ht="12.75"/>
    <row r="324" s="80" customFormat="1" ht="12.75"/>
    <row r="325" s="80" customFormat="1" ht="12.75"/>
    <row r="326" s="80" customFormat="1" ht="12.75"/>
    <row r="327" s="80" customFormat="1" ht="12.75"/>
    <row r="328" s="80" customFormat="1" ht="12.75"/>
    <row r="329" s="80" customFormat="1" ht="12.75"/>
    <row r="330" s="80" customFormat="1" ht="12.75"/>
    <row r="331" s="80" customFormat="1" ht="12.75"/>
    <row r="332" s="80" customFormat="1" ht="12.75"/>
    <row r="333" s="80" customFormat="1" ht="12.75"/>
    <row r="334" s="80" customFormat="1" ht="12.75"/>
    <row r="335" s="80" customFormat="1" ht="12.75"/>
    <row r="336" s="80" customFormat="1" ht="12.75"/>
    <row r="337" s="80" customFormat="1" ht="12.75"/>
    <row r="338" s="80" customFormat="1" ht="12.75"/>
    <row r="339" s="80" customFormat="1" ht="12.75"/>
    <row r="340" s="80" customFormat="1" ht="12.75"/>
    <row r="341" s="80" customFormat="1" ht="12.75"/>
    <row r="342" s="80" customFormat="1" ht="12.75"/>
    <row r="343" s="80" customFormat="1" ht="12.75"/>
    <row r="344" s="80" customFormat="1" ht="12.75"/>
    <row r="345" s="80" customFormat="1" ht="12.75"/>
    <row r="346" s="80" customFormat="1" ht="12.75"/>
    <row r="347" s="80" customFormat="1" ht="12.75"/>
    <row r="348" s="80" customFormat="1" ht="12.75"/>
    <row r="349" s="80" customFormat="1" ht="12.75"/>
    <row r="350" s="80" customFormat="1" ht="12.75"/>
    <row r="351" s="80" customFormat="1" ht="12.75"/>
    <row r="352" s="80" customFormat="1" ht="12.75"/>
    <row r="353" s="80" customFormat="1" ht="12.75"/>
    <row r="354" s="80" customFormat="1" ht="12.75"/>
    <row r="355" s="80" customFormat="1" ht="12.75"/>
    <row r="356" s="80" customFormat="1" ht="12.75"/>
    <row r="357" s="80" customFormat="1" ht="12.75"/>
    <row r="358" s="80" customFormat="1" ht="12.75"/>
    <row r="359" s="80" customFormat="1" ht="12.75"/>
    <row r="360" s="80" customFormat="1" ht="12.75"/>
    <row r="361" s="80" customFormat="1" ht="12.75"/>
    <row r="362" s="80" customFormat="1" ht="12.75"/>
    <row r="363" s="80" customFormat="1" ht="12.75"/>
    <row r="364" s="80" customFormat="1" ht="12.75"/>
    <row r="365" s="80" customFormat="1" ht="12.75"/>
    <row r="366" s="80" customFormat="1" ht="12.75"/>
    <row r="367" s="80" customFormat="1" ht="12.75"/>
    <row r="368" s="80" customFormat="1" ht="12.75"/>
    <row r="369" s="80" customFormat="1" ht="12.75"/>
    <row r="370" s="80" customFormat="1" ht="12.75"/>
    <row r="371" s="80" customFormat="1" ht="12.75"/>
    <row r="372" s="80" customFormat="1" ht="12.75"/>
    <row r="373" s="80" customFormat="1" ht="12.75"/>
    <row r="374" s="80" customFormat="1" ht="12.75"/>
    <row r="375" s="80" customFormat="1" ht="12.75"/>
    <row r="376" s="80" customFormat="1" ht="12.75"/>
    <row r="377" s="80" customFormat="1" ht="12.75"/>
    <row r="378" s="80" customFormat="1" ht="12.75"/>
    <row r="379" s="80" customFormat="1" ht="12.75"/>
    <row r="380" s="80" customFormat="1" ht="12.75"/>
    <row r="381" s="80" customFormat="1" ht="12.75"/>
    <row r="382" s="80" customFormat="1" ht="12.75"/>
    <row r="383" s="80" customFormat="1" ht="12.75"/>
    <row r="384" s="80" customFormat="1" ht="12.75"/>
    <row r="385" s="80" customFormat="1" ht="12.75"/>
    <row r="386" s="80" customFormat="1" ht="12.75"/>
    <row r="387" s="80" customFormat="1" ht="12.75"/>
    <row r="388" s="80" customFormat="1" ht="12.75"/>
    <row r="389" s="80" customFormat="1" ht="12.75"/>
    <row r="390" s="80" customFormat="1" ht="12.75"/>
    <row r="391" s="80" customFormat="1" ht="12.75"/>
    <row r="392" s="80" customFormat="1" ht="12.75"/>
    <row r="393" s="80" customFormat="1" ht="12.75"/>
    <row r="394" s="80" customFormat="1" ht="12.75"/>
    <row r="395" s="80" customFormat="1" ht="12.75"/>
    <row r="396" s="80" customFormat="1" ht="12.75"/>
    <row r="397" s="80" customFormat="1" ht="12.75"/>
    <row r="398" s="80" customFormat="1" ht="12.75"/>
    <row r="399" s="80" customFormat="1" ht="12.75"/>
    <row r="400" s="80" customFormat="1" ht="12.75"/>
    <row r="401" s="80" customFormat="1" ht="12.75"/>
    <row r="402" s="80" customFormat="1" ht="12.75"/>
    <row r="403" s="80" customFormat="1" ht="12.75"/>
    <row r="404" s="80" customFormat="1" ht="12.75"/>
    <row r="405" s="80" customFormat="1" ht="12.75"/>
    <row r="406" s="80" customFormat="1" ht="12.75"/>
    <row r="407" s="80" customFormat="1" ht="12.75"/>
    <row r="408" s="80" customFormat="1" ht="12.75"/>
    <row r="409" s="80" customFormat="1" ht="12.75"/>
    <row r="410" s="80" customFormat="1" ht="12.75"/>
    <row r="411" s="80" customFormat="1" ht="12.75"/>
    <row r="412" s="80" customFormat="1" ht="12.75"/>
    <row r="413" s="80" customFormat="1" ht="12.75"/>
    <row r="414" s="80" customFormat="1" ht="12.75"/>
    <row r="415" s="80" customFormat="1" ht="12.75"/>
    <row r="416" s="80" customFormat="1" ht="12.75"/>
    <row r="417" s="80" customFormat="1" ht="12.75"/>
    <row r="418" s="80" customFormat="1" ht="12.75"/>
    <row r="419" s="80" customFormat="1" ht="12.75"/>
    <row r="420" s="80" customFormat="1" ht="12.75"/>
    <row r="421" s="80" customFormat="1" ht="12.75"/>
    <row r="422" s="80" customFormat="1" ht="12.75"/>
    <row r="423" s="80" customFormat="1" ht="12.75"/>
    <row r="424" s="80" customFormat="1" ht="12.75"/>
    <row r="425" s="80" customFormat="1" ht="12.75"/>
    <row r="426" s="80" customFormat="1" ht="12.75"/>
    <row r="427" s="80" customFormat="1" ht="12.75"/>
    <row r="428" s="80" customFormat="1" ht="12.75"/>
    <row r="429" s="80" customFormat="1" ht="12.75"/>
    <row r="430" s="80" customFormat="1" ht="12.75"/>
    <row r="431" s="80" customFormat="1" ht="12.75"/>
    <row r="432" s="80" customFormat="1" ht="12.75"/>
    <row r="433" s="80" customFormat="1" ht="12.75"/>
    <row r="434" s="80" customFormat="1" ht="12.75"/>
    <row r="435" s="80" customFormat="1" ht="12.75"/>
    <row r="436" s="80" customFormat="1" ht="12.75"/>
    <row r="437" s="80" customFormat="1" ht="12.75"/>
    <row r="438" s="80" customFormat="1" ht="12.75"/>
    <row r="439" s="80" customFormat="1" ht="12.75"/>
    <row r="440" s="80" customFormat="1" ht="12.75"/>
    <row r="441" s="80" customFormat="1" ht="12.75"/>
    <row r="442" s="80" customFormat="1" ht="12.75"/>
    <row r="443" s="80" customFormat="1" ht="12.75"/>
    <row r="444" s="80" customFormat="1" ht="12.75"/>
    <row r="445" s="80" customFormat="1" ht="12.75"/>
    <row r="446" s="80" customFormat="1" ht="12.75"/>
    <row r="447" s="80" customFormat="1" ht="12.75"/>
    <row r="448" s="80" customFormat="1" ht="12.75"/>
    <row r="449" s="80" customFormat="1" ht="12.75"/>
    <row r="450" s="80" customFormat="1" ht="12.75"/>
    <row r="451" s="80" customFormat="1" ht="12.75"/>
    <row r="452" s="80" customFormat="1" ht="12.75"/>
    <row r="453" s="80" customFormat="1" ht="12.75"/>
    <row r="454" s="80" customFormat="1" ht="12.75"/>
    <row r="455" s="80" customFormat="1" ht="12.75"/>
    <row r="456" s="80" customFormat="1" ht="12.75"/>
    <row r="457" s="80" customFormat="1" ht="12.75"/>
    <row r="458" s="80" customFormat="1" ht="12.75"/>
    <row r="459" s="80" customFormat="1" ht="12.75"/>
    <row r="460" s="80" customFormat="1" ht="12.75"/>
    <row r="461" s="80" customFormat="1" ht="12.75"/>
    <row r="462" s="80" customFormat="1" ht="12.75"/>
    <row r="463" s="80" customFormat="1" ht="12.75"/>
    <row r="464" s="80" customFormat="1" ht="12.75"/>
    <row r="465" s="80" customFormat="1" ht="12.75"/>
    <row r="466" s="80" customFormat="1" ht="12.75"/>
    <row r="467" s="80" customFormat="1" ht="12.75"/>
    <row r="468" s="80" customFormat="1" ht="12.75"/>
    <row r="469" s="80" customFormat="1" ht="12.75"/>
    <row r="470" s="80" customFormat="1" ht="12.75"/>
    <row r="471" s="80" customFormat="1" ht="12.75"/>
    <row r="472" s="80" customFormat="1" ht="12.75"/>
    <row r="473" s="80" customFormat="1" ht="12.75"/>
    <row r="474" s="80" customFormat="1" ht="12.75"/>
    <row r="475" s="80" customFormat="1" ht="12.75"/>
    <row r="476" s="80" customFormat="1" ht="12.75"/>
    <row r="477" s="80" customFormat="1" ht="12.75"/>
    <row r="478" s="80" customFormat="1" ht="12.75"/>
    <row r="479" s="80" customFormat="1" ht="12.75"/>
    <row r="480" s="80" customFormat="1" ht="12.75"/>
    <row r="481" s="80" customFormat="1" ht="12.75"/>
    <row r="482" s="80" customFormat="1" ht="12.75"/>
    <row r="483" s="80" customFormat="1" ht="12.75"/>
    <row r="484" s="80" customFormat="1" ht="12.75"/>
    <row r="485" s="80" customFormat="1" ht="12.75"/>
    <row r="486" s="80" customFormat="1" ht="12.75"/>
    <row r="487" s="80" customFormat="1" ht="12.75"/>
    <row r="488" s="80" customFormat="1" ht="12.75"/>
    <row r="489" s="80" customFormat="1" ht="12.75"/>
    <row r="490" s="80" customFormat="1" ht="12.75"/>
    <row r="491" s="80" customFormat="1" ht="12.75"/>
    <row r="492" s="80" customFormat="1" ht="12.75"/>
    <row r="493" s="80" customFormat="1" ht="12.75"/>
    <row r="494" s="80" customFormat="1" ht="12.75"/>
    <row r="495" s="80" customFormat="1" ht="12.75"/>
    <row r="496" s="80" customFormat="1" ht="12.75"/>
    <row r="497" s="80" customFormat="1" ht="12.75"/>
    <row r="498" s="80" customFormat="1" ht="12.75"/>
    <row r="499" s="80" customFormat="1" ht="12.75"/>
    <row r="500" s="80" customFormat="1" ht="12.75"/>
    <row r="501" s="80" customFormat="1" ht="12.75"/>
    <row r="502" s="80" customFormat="1" ht="12.75"/>
    <row r="503" s="80" customFormat="1" ht="12.75"/>
    <row r="504" s="80" customFormat="1" ht="12.75"/>
    <row r="505" s="80" customFormat="1" ht="12.75"/>
    <row r="506" s="80" customFormat="1" ht="12.75"/>
    <row r="507" s="80" customFormat="1" ht="12.75"/>
    <row r="508" s="80" customFormat="1" ht="12.75"/>
    <row r="509" s="80" customFormat="1" ht="12.75"/>
    <row r="510" s="80" customFormat="1" ht="12.75"/>
    <row r="511" s="80" customFormat="1" ht="12.75"/>
    <row r="512" s="80" customFormat="1" ht="12.75"/>
    <row r="513" s="80" customFormat="1" ht="12.75"/>
    <row r="514" s="80" customFormat="1" ht="12.75"/>
    <row r="515" s="80" customFormat="1" ht="12.75"/>
    <row r="516" s="80" customFormat="1" ht="12.75"/>
    <row r="517" s="80" customFormat="1" ht="12.75"/>
    <row r="518" s="80" customFormat="1" ht="12.75"/>
    <row r="519" s="80" customFormat="1" ht="12.75"/>
    <row r="520" s="80" customFormat="1" ht="12.75"/>
    <row r="521" s="80" customFormat="1" ht="12.75"/>
    <row r="522" s="80" customFormat="1" ht="12.75"/>
    <row r="523" s="80" customFormat="1" ht="12.75"/>
    <row r="524" s="80" customFormat="1" ht="12.75"/>
    <row r="525" s="80" customFormat="1" ht="12.75"/>
    <row r="526" s="80" customFormat="1" ht="12.75"/>
    <row r="527" s="80" customFormat="1" ht="12.75"/>
    <row r="528" s="80" customFormat="1" ht="12.75"/>
    <row r="529" s="80" customFormat="1" ht="12.75"/>
    <row r="530" s="80" customFormat="1" ht="12.75"/>
    <row r="531" s="80" customFormat="1" ht="12.75"/>
    <row r="532" s="80" customFormat="1" ht="12.75"/>
    <row r="533" s="80" customFormat="1" ht="12.75"/>
    <row r="534" s="80" customFormat="1" ht="12.75"/>
    <row r="535" s="80" customFormat="1" ht="12.75"/>
    <row r="536" s="80" customFormat="1" ht="12.75"/>
    <row r="537" s="80" customFormat="1" ht="12.75"/>
    <row r="538" s="80" customFormat="1" ht="12.75"/>
    <row r="539" s="80" customFormat="1" ht="12.75"/>
    <row r="540" s="80" customFormat="1" ht="12.75"/>
    <row r="541" s="80" customFormat="1" ht="12.75"/>
    <row r="542" s="80" customFormat="1" ht="12.75"/>
    <row r="543" s="80" customFormat="1" ht="12.75"/>
    <row r="544" s="80" customFormat="1" ht="12.75"/>
    <row r="545" s="80" customFormat="1" ht="12.75"/>
    <row r="546" s="80" customFormat="1" ht="12.75"/>
    <row r="547" s="80" customFormat="1" ht="12.75"/>
    <row r="548" s="80" customFormat="1" ht="12.75"/>
    <row r="549" s="80" customFormat="1" ht="12.75"/>
    <row r="550" s="80" customFormat="1" ht="12.75"/>
    <row r="551" s="80" customFormat="1" ht="12.75"/>
    <row r="552" s="80" customFormat="1" ht="12.75"/>
    <row r="553" s="80" customFormat="1" ht="12.75"/>
    <row r="554" s="80" customFormat="1" ht="12.75"/>
    <row r="555" s="80" customFormat="1" ht="12.75"/>
    <row r="556" s="80" customFormat="1" ht="12.75"/>
    <row r="557" s="80" customFormat="1" ht="12.75"/>
    <row r="558" s="80" customFormat="1" ht="12.75"/>
    <row r="559" s="80" customFormat="1" ht="12.75"/>
    <row r="560" s="80" customFormat="1" ht="12.75"/>
    <row r="561" s="80" customFormat="1" ht="12.75"/>
    <row r="562" s="80" customFormat="1" ht="12.75"/>
    <row r="563" s="80" customFormat="1" ht="12.75"/>
    <row r="564" s="80" customFormat="1" ht="12.75"/>
    <row r="565" s="80" customFormat="1" ht="12.75"/>
    <row r="566" s="80" customFormat="1" ht="12.75"/>
    <row r="567" s="80" customFormat="1" ht="12.75"/>
    <row r="568" s="80" customFormat="1" ht="12.75"/>
    <row r="569" s="80" customFormat="1" ht="12.75"/>
    <row r="570" s="80" customFormat="1" ht="12.75"/>
    <row r="571" s="80" customFormat="1" ht="12.75"/>
    <row r="572" s="80" customFormat="1" ht="12.75"/>
    <row r="573" s="80" customFormat="1" ht="12.75"/>
    <row r="574" s="80" customFormat="1" ht="12.75"/>
    <row r="575" s="80" customFormat="1" ht="12.75"/>
    <row r="576" s="80" customFormat="1" ht="12.75"/>
    <row r="577" s="80" customFormat="1" ht="12.75"/>
    <row r="578" s="80" customFormat="1" ht="12.75"/>
    <row r="579" s="80" customFormat="1" ht="12.75"/>
    <row r="580" s="80" customFormat="1" ht="12.75"/>
    <row r="581" s="80" customFormat="1" ht="12.75"/>
    <row r="582" s="80" customFormat="1" ht="12.75"/>
    <row r="583" s="80" customFormat="1" ht="12.75"/>
    <row r="584" s="80" customFormat="1" ht="12.75"/>
    <row r="585" s="80" customFormat="1" ht="12.75"/>
    <row r="586" s="80" customFormat="1" ht="12.75"/>
    <row r="587" s="80" customFormat="1" ht="12.75"/>
    <row r="588" s="80" customFormat="1" ht="12.75"/>
    <row r="589" s="80" customFormat="1" ht="12.75"/>
    <row r="590" s="80" customFormat="1" ht="12.75"/>
    <row r="591" s="80" customFormat="1" ht="12.75"/>
    <row r="592" s="80" customFormat="1" ht="12.75"/>
    <row r="593" s="80" customFormat="1" ht="12.75"/>
    <row r="594" s="80" customFormat="1" ht="12.75"/>
    <row r="595" s="80" customFormat="1" ht="12.75"/>
    <row r="596" s="80" customFormat="1" ht="12.75"/>
    <row r="597" s="80" customFormat="1" ht="12.75"/>
    <row r="598" s="80" customFormat="1" ht="12.75"/>
    <row r="599" s="80" customFormat="1" ht="12.75"/>
    <row r="600" s="80" customFormat="1" ht="12.75"/>
    <row r="601" s="80" customFormat="1" ht="12.75"/>
    <row r="602" s="80" customFormat="1" ht="12.75"/>
    <row r="603" s="80" customFormat="1" ht="12.75"/>
    <row r="604" s="80" customFormat="1" ht="12.75"/>
    <row r="605" s="80" customFormat="1" ht="12.75"/>
    <row r="606" s="80" customFormat="1" ht="12.75"/>
    <row r="607" s="80" customFormat="1" ht="12.75"/>
    <row r="608" s="80" customFormat="1" ht="12.75"/>
    <row r="609" s="80" customFormat="1" ht="12.75"/>
    <row r="610" s="80" customFormat="1" ht="12.75"/>
    <row r="611" s="80" customFormat="1" ht="12.75"/>
    <row r="612" s="80" customFormat="1" ht="12.75"/>
    <row r="613" s="80" customFormat="1" ht="12.75"/>
    <row r="614" s="80" customFormat="1" ht="12.75"/>
    <row r="615" s="80" customFormat="1" ht="12.75"/>
    <row r="616" s="80" customFormat="1" ht="12.75"/>
    <row r="617" s="80" customFormat="1" ht="12.75"/>
    <row r="618" s="80" customFormat="1" ht="12.75"/>
    <row r="619" s="80" customFormat="1" ht="12.75"/>
    <row r="620" s="80" customFormat="1" ht="12.75"/>
    <row r="621" s="80" customFormat="1" ht="12.75"/>
    <row r="622" s="80" customFormat="1" ht="12.75"/>
    <row r="623" s="80" customFormat="1" ht="12.75"/>
    <row r="624" s="80" customFormat="1" ht="12.75"/>
    <row r="625" s="80" customFormat="1" ht="12.75"/>
    <row r="626" s="80" customFormat="1" ht="12.75"/>
    <row r="627" s="80" customFormat="1" ht="12.75"/>
    <row r="628" s="80" customFormat="1" ht="12.75"/>
    <row r="629" s="80" customFormat="1" ht="12.75"/>
    <row r="630" s="80" customFormat="1" ht="12.75"/>
    <row r="631" s="80" customFormat="1" ht="12.75"/>
    <row r="632" s="80" customFormat="1" ht="12.75"/>
    <row r="633" s="80" customFormat="1" ht="12.75"/>
    <row r="634" s="80" customFormat="1" ht="12.75"/>
    <row r="635" s="80" customFormat="1" ht="12.75"/>
    <row r="636" s="80" customFormat="1" ht="12.75"/>
    <row r="637" s="80" customFormat="1" ht="12.75"/>
    <row r="638" s="80" customFormat="1" ht="12.75"/>
    <row r="639" s="80" customFormat="1" ht="12.75"/>
    <row r="640" s="80" customFormat="1" ht="12.75"/>
    <row r="641" s="80" customFormat="1" ht="12.75"/>
    <row r="642" s="80" customFormat="1" ht="12.75"/>
    <row r="643" s="80" customFormat="1" ht="12.75"/>
    <row r="644" s="80" customFormat="1" ht="12.75"/>
    <row r="645" s="80" customFormat="1" ht="12.75"/>
    <row r="646" s="80" customFormat="1" ht="12.75"/>
    <row r="647" s="80" customFormat="1" ht="12.75"/>
    <row r="648" s="80" customFormat="1" ht="12.75"/>
    <row r="649" s="80" customFormat="1" ht="12.75"/>
    <row r="650" s="80" customFormat="1" ht="12.75"/>
    <row r="651" s="80" customFormat="1" ht="12.75"/>
    <row r="652" s="80" customFormat="1" ht="12.75"/>
    <row r="653" s="80" customFormat="1" ht="12.75"/>
    <row r="654" s="80" customFormat="1" ht="12.75"/>
    <row r="655" s="80" customFormat="1" ht="12.75"/>
    <row r="656" s="80" customFormat="1" ht="12.75"/>
    <row r="657" s="80" customFormat="1" ht="12.75"/>
    <row r="658" s="80" customFormat="1" ht="12.75"/>
    <row r="659" s="80" customFormat="1" ht="12.75"/>
    <row r="660" s="80" customFormat="1" ht="12.75"/>
    <row r="661" s="80" customFormat="1" ht="12.75"/>
    <row r="662" s="80" customFormat="1" ht="12.75"/>
    <row r="663" s="80" customFormat="1" ht="12.75"/>
    <row r="664" s="80" customFormat="1" ht="12.75"/>
    <row r="665" s="80" customFormat="1" ht="12.75"/>
    <row r="666" s="80" customFormat="1" ht="12.75"/>
    <row r="667" s="80" customFormat="1" ht="12.75"/>
    <row r="668" s="80" customFormat="1" ht="12.75"/>
    <row r="669" s="80" customFormat="1" ht="12.75"/>
    <row r="670" s="80" customFormat="1" ht="12.75"/>
    <row r="671" s="80" customFormat="1" ht="12.75"/>
    <row r="672" s="80" customFormat="1" ht="12.75"/>
    <row r="673" s="80" customFormat="1" ht="12.75"/>
    <row r="674" s="80" customFormat="1" ht="12.75"/>
    <row r="675" s="80" customFormat="1" ht="12.75"/>
    <row r="676" s="80" customFormat="1" ht="12.75"/>
    <row r="677" s="80" customFormat="1" ht="12.75"/>
    <row r="678" s="80" customFormat="1" ht="12.75"/>
    <row r="679" s="80" customFormat="1" ht="12.75"/>
    <row r="680" s="80" customFormat="1" ht="12.75"/>
    <row r="681" s="80" customFormat="1" ht="12.75"/>
    <row r="682" s="80" customFormat="1" ht="12.75"/>
    <row r="683" s="80" customFormat="1" ht="12.75"/>
    <row r="684" s="80" customFormat="1" ht="12.75"/>
    <row r="685" s="80" customFormat="1" ht="12.75"/>
    <row r="686" s="80" customFormat="1" ht="12.75"/>
    <row r="687" s="80" customFormat="1" ht="12.75"/>
    <row r="688" s="80" customFormat="1" ht="12.75"/>
    <row r="689" s="80" customFormat="1" ht="12.75"/>
    <row r="690" s="80" customFormat="1" ht="12.75"/>
    <row r="691" s="80" customFormat="1" ht="12.75"/>
    <row r="692" s="80" customFormat="1" ht="12.75"/>
    <row r="693" s="80" customFormat="1" ht="12.75"/>
    <row r="694" s="80" customFormat="1" ht="12.75"/>
    <row r="695" s="80" customFormat="1" ht="12.75"/>
    <row r="696" s="80" customFormat="1" ht="12.75"/>
    <row r="697" s="80" customFormat="1" ht="12.75"/>
    <row r="698" s="80" customFormat="1" ht="12.75"/>
    <row r="699" s="80" customFormat="1" ht="12.75"/>
    <row r="700" s="80" customFormat="1" ht="12.75"/>
    <row r="701" s="80" customFormat="1" ht="12.75"/>
    <row r="702" s="80" customFormat="1" ht="12.75"/>
    <row r="703" s="80" customFormat="1" ht="12.75"/>
    <row r="704" s="80" customFormat="1" ht="12.75"/>
    <row r="705" s="80" customFormat="1" ht="12.75"/>
    <row r="706" s="80" customFormat="1" ht="12.75"/>
    <row r="707" s="80" customFormat="1" ht="12.75"/>
    <row r="708" s="80" customFormat="1" ht="12.75"/>
    <row r="709" s="80" customFormat="1" ht="12.75"/>
    <row r="710" s="80" customFormat="1" ht="12.75"/>
    <row r="711" s="80" customFormat="1" ht="12.75"/>
    <row r="712" s="80" customFormat="1" ht="12.75"/>
    <row r="713" s="80" customFormat="1" ht="12.75"/>
    <row r="714" s="80" customFormat="1" ht="12.75"/>
    <row r="715" s="80" customFormat="1" ht="12.75"/>
    <row r="716" s="80" customFormat="1" ht="12.75"/>
    <row r="717" s="80" customFormat="1" ht="12.75"/>
    <row r="718" s="80" customFormat="1" ht="12.75"/>
    <row r="719" s="80" customFormat="1" ht="12.75"/>
    <row r="720" s="80" customFormat="1" ht="12.75"/>
    <row r="721" s="80" customFormat="1" ht="12.75"/>
    <row r="722" s="80" customFormat="1" ht="12.75"/>
    <row r="723" s="80" customFormat="1" ht="12.75"/>
    <row r="724" s="80" customFormat="1" ht="12.75"/>
    <row r="725" s="80" customFormat="1" ht="12.75"/>
    <row r="726" s="80" customFormat="1" ht="12.75"/>
    <row r="727" s="80" customFormat="1" ht="12.75"/>
    <row r="728" s="80" customFormat="1" ht="12.75"/>
    <row r="729" s="80" customFormat="1" ht="12.75"/>
    <row r="730" s="80" customFormat="1" ht="12.75"/>
    <row r="731" s="80" customFormat="1" ht="12.75"/>
    <row r="732" s="80" customFormat="1" ht="12.75"/>
    <row r="733" s="80" customFormat="1" ht="12.75"/>
    <row r="734" s="80" customFormat="1" ht="12.75"/>
    <row r="735" s="80" customFormat="1" ht="12.75"/>
    <row r="736" s="80" customFormat="1" ht="12.75"/>
    <row r="737" s="80" customFormat="1" ht="12.75"/>
    <row r="738" s="80" customFormat="1" ht="12.75"/>
    <row r="739" s="80" customFormat="1" ht="12.75"/>
    <row r="740" s="80" customFormat="1" ht="12.75"/>
    <row r="741" s="80" customFormat="1" ht="12.75"/>
    <row r="742" s="80" customFormat="1" ht="12.75"/>
    <row r="743" s="80" customFormat="1" ht="12.75"/>
    <row r="744" s="80" customFormat="1" ht="12.75"/>
    <row r="745" s="80" customFormat="1" ht="12.75"/>
    <row r="746" s="80" customFormat="1" ht="12.75"/>
    <row r="747" s="80" customFormat="1" ht="12.75"/>
    <row r="748" s="80" customFormat="1" ht="12.75"/>
    <row r="749" s="80" customFormat="1" ht="12.75"/>
    <row r="750" s="80" customFormat="1" ht="12.75"/>
    <row r="751" s="80" customFormat="1" ht="12.75"/>
    <row r="752" s="80" customFormat="1" ht="12.75"/>
    <row r="753" s="80" customFormat="1" ht="12.75"/>
    <row r="754" s="80" customFormat="1" ht="12.75"/>
    <row r="755" s="80" customFormat="1" ht="12.75"/>
    <row r="756" s="80" customFormat="1" ht="12.75"/>
    <row r="757" s="80" customFormat="1" ht="12.75"/>
    <row r="758" s="80" customFormat="1" ht="12.75"/>
    <row r="759" s="80" customFormat="1" ht="12.75"/>
    <row r="760" s="80" customFormat="1" ht="12.75"/>
    <row r="761" s="80" customFormat="1" ht="12.75"/>
    <row r="762" s="80" customFormat="1" ht="12.75"/>
    <row r="763" s="80" customFormat="1" ht="12.75"/>
    <row r="764" s="80" customFormat="1" ht="12.75"/>
    <row r="765" s="80" customFormat="1" ht="12.75"/>
    <row r="766" s="80" customFormat="1" ht="12.75"/>
    <row r="767" s="80" customFormat="1" ht="12.75"/>
    <row r="768" s="80" customFormat="1" ht="12.75"/>
    <row r="769" s="80" customFormat="1" ht="12.75"/>
    <row r="770" s="80" customFormat="1" ht="12.75"/>
    <row r="771" s="80" customFormat="1" ht="12.75"/>
    <row r="772" s="80" customFormat="1" ht="12.75"/>
    <row r="773" s="80" customFormat="1" ht="12.75"/>
    <row r="774" s="80" customFormat="1" ht="12.75"/>
    <row r="775" s="80" customFormat="1" ht="12.75"/>
    <row r="776" s="80" customFormat="1" ht="12.75"/>
    <row r="777" s="80" customFormat="1" ht="12.75"/>
    <row r="778" s="80" customFormat="1" ht="12.75"/>
    <row r="779" s="80" customFormat="1" ht="12.75"/>
    <row r="780" s="80" customFormat="1" ht="12.75"/>
    <row r="781" s="80" customFormat="1" ht="12.75"/>
    <row r="782" s="80" customFormat="1" ht="12.75"/>
    <row r="783" s="80" customFormat="1" ht="12.75"/>
    <row r="784" s="80" customFormat="1" ht="12.75"/>
    <row r="785" s="80" customFormat="1" ht="12.75"/>
    <row r="786" s="80" customFormat="1" ht="12.75"/>
    <row r="787" s="80" customFormat="1" ht="12.75"/>
    <row r="788" s="80" customFormat="1" ht="12.75"/>
    <row r="789" s="80" customFormat="1" ht="12.75"/>
    <row r="790" s="80" customFormat="1" ht="12.75"/>
    <row r="791" s="80" customFormat="1" ht="12.75"/>
    <row r="792" s="80" customFormat="1" ht="12.75"/>
    <row r="793" s="80" customFormat="1" ht="12.75"/>
    <row r="794" s="80" customFormat="1" ht="12.75"/>
    <row r="795" s="80" customFormat="1" ht="12.75"/>
    <row r="796" s="80" customFormat="1" ht="12.75"/>
    <row r="797" s="80" customFormat="1" ht="12.75"/>
    <row r="798" s="80" customFormat="1" ht="12.75"/>
    <row r="799" s="80" customFormat="1" ht="12.75"/>
    <row r="800" s="80" customFormat="1" ht="12.75"/>
    <row r="801" s="80" customFormat="1" ht="12.75"/>
    <row r="802" s="80" customFormat="1" ht="12.75"/>
    <row r="803" s="80" customFormat="1" ht="12.75"/>
    <row r="804" s="80" customFormat="1" ht="12.75"/>
    <row r="805" s="80" customFormat="1" ht="12.75"/>
    <row r="806" s="80" customFormat="1" ht="12.75"/>
    <row r="807" s="80" customFormat="1" ht="12.75"/>
    <row r="808" s="80" customFormat="1" ht="12.75"/>
    <row r="809" s="80" customFormat="1" ht="12.75"/>
    <row r="810" s="80" customFormat="1" ht="12.75"/>
    <row r="811" s="80" customFormat="1" ht="12.75"/>
    <row r="812" s="80" customFormat="1" ht="12.75"/>
    <row r="813" s="80" customFormat="1" ht="12.75"/>
    <row r="814" s="80" customFormat="1" ht="12.75"/>
    <row r="815" s="80" customFormat="1" ht="12.75"/>
    <row r="816" s="80" customFormat="1" ht="12.75"/>
    <row r="817" s="80" customFormat="1" ht="12.75"/>
    <row r="818" s="80" customFormat="1" ht="12.75"/>
    <row r="819" s="80" customFormat="1" ht="12.75"/>
    <row r="820" s="80" customFormat="1" ht="12.75"/>
    <row r="821" s="80" customFormat="1" ht="12.75"/>
    <row r="822" s="80" customFormat="1" ht="12.75"/>
    <row r="823" s="80" customFormat="1" ht="12.75"/>
    <row r="824" s="80" customFormat="1" ht="12.75"/>
    <row r="825" s="80" customFormat="1" ht="12.75"/>
    <row r="826" s="80" customFormat="1" ht="12.75"/>
    <row r="827" s="80" customFormat="1" ht="12.75"/>
    <row r="828" s="80" customFormat="1" ht="12.75"/>
    <row r="829" s="80" customFormat="1" ht="12.75"/>
    <row r="830" s="80" customFormat="1" ht="12.75"/>
    <row r="831" s="80" customFormat="1" ht="12.75"/>
    <row r="832" s="80" customFormat="1" ht="12.75"/>
    <row r="833" s="80" customFormat="1" ht="12.75"/>
    <row r="834" s="80" customFormat="1" ht="12.75"/>
    <row r="835" s="80" customFormat="1" ht="12.75"/>
    <row r="836" s="80" customFormat="1" ht="12.75"/>
    <row r="837" s="80" customFormat="1" ht="12.75"/>
    <row r="838" s="80" customFormat="1" ht="12.75"/>
    <row r="839" s="80" customFormat="1" ht="12.75"/>
    <row r="840" s="80" customFormat="1" ht="12.75"/>
    <row r="841" s="80" customFormat="1" ht="12.75"/>
    <row r="842" s="80" customFormat="1" ht="12.75"/>
    <row r="843" s="80" customFormat="1" ht="12.75"/>
    <row r="844" s="80" customFormat="1" ht="12.75"/>
    <row r="845" s="80" customFormat="1" ht="12.75"/>
    <row r="846" s="80" customFormat="1" ht="12.75"/>
    <row r="847" s="80" customFormat="1" ht="12.75"/>
    <row r="848" s="80" customFormat="1" ht="12.75"/>
    <row r="849" s="80" customFormat="1" ht="12.75"/>
    <row r="850" s="80" customFormat="1" ht="12.75"/>
    <row r="851" s="80" customFormat="1" ht="12.75"/>
    <row r="852" s="80" customFormat="1" ht="12.75"/>
    <row r="853" s="80" customFormat="1" ht="12.75"/>
    <row r="854" s="80" customFormat="1" ht="12.75"/>
    <row r="855" s="80" customFormat="1" ht="12.75"/>
    <row r="856" s="80" customFormat="1" ht="12.75"/>
    <row r="857" s="80" customFormat="1" ht="12.75"/>
    <row r="858" s="80" customFormat="1" ht="12.75"/>
    <row r="859" s="80" customFormat="1" ht="12.75"/>
    <row r="860" s="80" customFormat="1" ht="12.75"/>
    <row r="861" s="80" customFormat="1" ht="12.75"/>
    <row r="862" s="80" customFormat="1" ht="12.75"/>
  </sheetData>
  <sheetProtection password="CA67" sheet="1" objects="1" scenarios="1" formatCells="0" formatRows="0"/>
  <mergeCells count="30">
    <mergeCell ref="G25:I25"/>
    <mergeCell ref="G28:I28"/>
    <mergeCell ref="G31:I31"/>
    <mergeCell ref="A12:I12"/>
    <mergeCell ref="B1:G2"/>
    <mergeCell ref="B3:G3"/>
    <mergeCell ref="B4:G4"/>
    <mergeCell ref="A5:I5"/>
    <mergeCell ref="H1:H2"/>
    <mergeCell ref="I1:I2"/>
    <mergeCell ref="A85:I86"/>
    <mergeCell ref="C76:D76"/>
    <mergeCell ref="E76:F76"/>
    <mergeCell ref="H77:I82"/>
    <mergeCell ref="C14:C15"/>
    <mergeCell ref="D14:F14"/>
    <mergeCell ref="D15:F15"/>
    <mergeCell ref="C55:G55"/>
    <mergeCell ref="G22:I22"/>
    <mergeCell ref="G34:I34"/>
    <mergeCell ref="A13:I13"/>
    <mergeCell ref="Q14:U14"/>
    <mergeCell ref="G20:I20"/>
    <mergeCell ref="G38:I38"/>
    <mergeCell ref="G37:I37"/>
    <mergeCell ref="G23:I23"/>
    <mergeCell ref="G26:I26"/>
    <mergeCell ref="G29:I29"/>
    <mergeCell ref="G32:I32"/>
    <mergeCell ref="G35:I35"/>
  </mergeCells>
  <printOptions/>
  <pageMargins left="0.25" right="0.25" top="0.25" bottom="0.5" header="0.25" footer="0.25"/>
  <pageSetup fitToHeight="1" fitToWidth="1" horizontalDpi="600" verticalDpi="600" orientation="portrait" r:id="rId3"/>
  <headerFooter alignWithMargins="0">
    <oddFooter>&amp;L&amp;8LID-EZ Wilmington Area Model
Version 2.0&amp;R&amp;8&amp;D  &amp;T
Page &amp;P of &amp;N</oddFooter>
  </headerFooter>
  <rowBreaks count="1" manualBreakCount="1">
    <brk id="48"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Withers &amp; Ravenel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Hall</dc:creator>
  <cp:keywords/>
  <dc:description/>
  <cp:lastModifiedBy>default</cp:lastModifiedBy>
  <cp:lastPrinted>2009-09-29T19:42:43Z</cp:lastPrinted>
  <dcterms:created xsi:type="dcterms:W3CDTF">2006-08-14T14:36:30Z</dcterms:created>
  <dcterms:modified xsi:type="dcterms:W3CDTF">2009-09-29T19:52:13Z</dcterms:modified>
  <cp:category/>
  <cp:version/>
  <cp:contentType/>
  <cp:contentStatus/>
</cp:coreProperties>
</file>